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80" windowWidth="25245" windowHeight="5220" activeTab="1"/>
  </bookViews>
  <sheets>
    <sheet name="25101" sheetId="1" r:id="rId1"/>
    <sheet name="25102" sheetId="2" r:id="rId2"/>
    <sheet name="Sheet3" sheetId="3" r:id="rId3"/>
  </sheets>
  <definedNames>
    <definedName name="_xlnm.Print_Titles" localSheetId="0">'25101'!$5:$5</definedName>
  </definedNames>
  <calcPr calcId="145621"/>
</workbook>
</file>

<file path=xl/calcChain.xml><?xml version="1.0" encoding="utf-8"?>
<calcChain xmlns="http://schemas.openxmlformats.org/spreadsheetml/2006/main">
  <c r="M37" i="1" l="1"/>
  <c r="J37" i="1"/>
  <c r="M32" i="1"/>
  <c r="M31" i="1"/>
  <c r="J32" i="1"/>
  <c r="J31" i="1"/>
  <c r="M19" i="1"/>
  <c r="J19" i="1" l="1"/>
  <c r="J17" i="1"/>
  <c r="D30" i="1"/>
  <c r="D16" i="1" l="1"/>
  <c r="D20" i="1"/>
  <c r="D32" i="1"/>
  <c r="D42" i="1"/>
  <c r="D53" i="1"/>
  <c r="D48" i="1"/>
  <c r="D51" i="1"/>
  <c r="D54" i="1" l="1"/>
  <c r="C30" i="1"/>
  <c r="B33" i="2" l="1"/>
  <c r="C33" i="2"/>
  <c r="C11" i="1" l="1"/>
  <c r="C9" i="1"/>
  <c r="C53" i="1" l="1"/>
  <c r="C48" i="1"/>
  <c r="C42" i="1"/>
  <c r="C32" i="1"/>
  <c r="C20" i="1"/>
  <c r="B50" i="1"/>
  <c r="B31" i="1"/>
  <c r="B28" i="1"/>
  <c r="C54" i="1" l="1"/>
  <c r="D56" i="1" s="1"/>
  <c r="C13" i="1"/>
  <c r="C10" i="1"/>
  <c r="B9" i="1"/>
  <c r="B10" i="1"/>
  <c r="B12" i="1"/>
  <c r="B16" i="2" l="1"/>
  <c r="C13" i="2"/>
  <c r="B9" i="2"/>
  <c r="B32" i="2"/>
  <c r="B13" i="2"/>
  <c r="B29" i="2"/>
  <c r="C18" i="2" l="1"/>
  <c r="B14" i="2"/>
  <c r="B22" i="2"/>
  <c r="C23" i="2"/>
  <c r="B23" i="2"/>
  <c r="C20" i="2"/>
  <c r="B20" i="2"/>
  <c r="B35" i="2" l="1"/>
  <c r="C14" i="2"/>
  <c r="C35" i="2" s="1"/>
  <c r="B30" i="1" l="1"/>
  <c r="C6" i="1"/>
  <c r="B15" i="1"/>
  <c r="C14" i="1"/>
  <c r="B53" i="1"/>
  <c r="B48" i="1"/>
  <c r="B42" i="1"/>
  <c r="B20" i="1"/>
  <c r="B16" i="1" l="1"/>
  <c r="C16" i="1"/>
  <c r="B32" i="1"/>
  <c r="B54" i="1" l="1"/>
</calcChain>
</file>

<file path=xl/sharedStrings.xml><?xml version="1.0" encoding="utf-8"?>
<sst xmlns="http://schemas.openxmlformats.org/spreadsheetml/2006/main" count="174" uniqueCount="143">
  <si>
    <t>25101 - MES Support</t>
  </si>
  <si>
    <t>NOTES</t>
  </si>
  <si>
    <t>Assistant Director</t>
  </si>
  <si>
    <t>not included since supported by college</t>
  </si>
  <si>
    <t>Office Assistant - w/s student employee</t>
  </si>
  <si>
    <t>Recruitment Asst - w/s student employee</t>
  </si>
  <si>
    <t>Office Assistant - non w/s student emp</t>
  </si>
  <si>
    <t>MES Ambassadors</t>
  </si>
  <si>
    <t>SUBTOTAL</t>
  </si>
  <si>
    <t>Campus Events</t>
  </si>
  <si>
    <t>Rachel Carson Forum Support</t>
  </si>
  <si>
    <t>Recruitment</t>
  </si>
  <si>
    <t>Photo/Video</t>
  </si>
  <si>
    <t>Ambassador lunches/coffee</t>
  </si>
  <si>
    <t>Parking for prospective students</t>
  </si>
  <si>
    <t>Postage</t>
  </si>
  <si>
    <t xml:space="preserve">Print Advertising </t>
  </si>
  <si>
    <t>Web Advertising/Name Purchasing</t>
  </si>
  <si>
    <t>Publication Printing</t>
  </si>
  <si>
    <t xml:space="preserve">Newsletter </t>
  </si>
  <si>
    <t>Fair and Event Fees</t>
  </si>
  <si>
    <t>Travel costs</t>
  </si>
  <si>
    <t>Office</t>
  </si>
  <si>
    <t>Office Supplies/Misc</t>
  </si>
  <si>
    <t>includes shirts for staff</t>
  </si>
  <si>
    <t>Telephone - Office</t>
  </si>
  <si>
    <t>Telephone - Cell</t>
  </si>
  <si>
    <t>Facilities</t>
  </si>
  <si>
    <t>Surveymonkey</t>
  </si>
  <si>
    <t>computer hardware/software</t>
  </si>
  <si>
    <t>Professional Membership</t>
  </si>
  <si>
    <t>NAGAP membership</t>
  </si>
  <si>
    <t>NCSE/CEDD institutional membership</t>
  </si>
  <si>
    <t>NCSE/CEDD travel</t>
  </si>
  <si>
    <t>NAGAP conference and travel</t>
  </si>
  <si>
    <t>assume use of staff development funds (want to go every other year)</t>
  </si>
  <si>
    <t>Student Events</t>
  </si>
  <si>
    <t>Admitted Student Evening</t>
  </si>
  <si>
    <t>Orientation (including Tuesday welcome)</t>
  </si>
  <si>
    <t>Graduation</t>
  </si>
  <si>
    <t>food, facilities, media, printing, speaker</t>
  </si>
  <si>
    <t>GRAND TOTALS</t>
  </si>
  <si>
    <t>FY14 allocation</t>
  </si>
  <si>
    <t>FY15 proposed</t>
  </si>
  <si>
    <t>Communications  Asst (student employee)</t>
  </si>
  <si>
    <t>Recruitment Asst - non w/s student employee</t>
  </si>
  <si>
    <t>FY14: 9/16-5/15 ($13/hr)</t>
  </si>
  <si>
    <t>FY14 available funds excluding AD salary/benefits (includes NCSE, CF, brochures, NCUR, admit day) = 31665</t>
  </si>
  <si>
    <t>Salaries/Wages/Benefits - available</t>
  </si>
  <si>
    <t>FY14 - early bird was $2800</t>
  </si>
  <si>
    <t>for NCSE and 2 CEDD meetings (on 25102)</t>
  </si>
  <si>
    <t>moved to blog in FY14</t>
  </si>
  <si>
    <t>various food</t>
  </si>
  <si>
    <t>for focus groups, etc</t>
  </si>
  <si>
    <t>student benefits</t>
  </si>
  <si>
    <t>Curriculum</t>
  </si>
  <si>
    <t>Field Trips*</t>
  </si>
  <si>
    <t>Instructional Supplies</t>
  </si>
  <si>
    <t>Textbooks</t>
  </si>
  <si>
    <t>International course</t>
  </si>
  <si>
    <t>Speakers</t>
  </si>
  <si>
    <t>Student Support</t>
  </si>
  <si>
    <t>Conferences</t>
  </si>
  <si>
    <t>Thesis Research Funding</t>
  </si>
  <si>
    <t>Quant Methods Teaching Asst</t>
  </si>
  <si>
    <t>Thesis Presentations</t>
  </si>
  <si>
    <t>Miscelleneous</t>
  </si>
  <si>
    <t>Buffer</t>
  </si>
  <si>
    <t>Faculty Retreat</t>
  </si>
  <si>
    <t>Supplies/Mailing/Copies</t>
  </si>
  <si>
    <t>food</t>
  </si>
  <si>
    <t>Admit Student Day</t>
  </si>
  <si>
    <t>Shangrila &amp; Kahtleen travel</t>
  </si>
  <si>
    <t>$12/hour, 10 hours/week, 30 weeks (non w/s FY14; w/s FY15 - $3600 w/s)</t>
  </si>
  <si>
    <t>AT&amp;T cell 7.45 + taxes + long distance/mo (in FY14, forgot to change over for nonWA trip)</t>
  </si>
  <si>
    <t>gradschools.com (changed to $1440 in FY14) - pay in FY15 only if $$ avail in June 2015 (June 30, 15 - June 29, 14)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</si>
  <si>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</si>
  <si>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</si>
  <si>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</si>
  <si>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</si>
  <si>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</si>
  <si>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*14-15 vans, $82/day, .25/mi after 250 mi (for entire trip).</t>
  </si>
  <si>
    <t>surveymonkey</t>
  </si>
  <si>
    <t>Advertising</t>
  </si>
  <si>
    <t>3/qtr; $375/qtr ($125/speaker), had 7 in FY14</t>
  </si>
  <si>
    <t>photos for grads in FY14</t>
  </si>
  <si>
    <t>had extra $$ in FY14</t>
  </si>
  <si>
    <t/>
  </si>
  <si>
    <t>FY14 available funds: $7400 + $1012 CF = $8412</t>
  </si>
  <si>
    <t>Graduate Program on the Environment -14-15 Budget Proposal</t>
  </si>
  <si>
    <t>25102 - MES Academic</t>
  </si>
  <si>
    <t>Graduate Program on the Environment - 14-15 Budget Proposal</t>
  </si>
  <si>
    <t>to take prospects to lunch/coffee</t>
  </si>
  <si>
    <t>Office Asst - temp</t>
  </si>
  <si>
    <t>FY 14: 6/16 - 6/30; FY15: 7/1 - 8/21 ($11/hr, 12  hrs/week); 6/16-6/30 ($11/hr, 19 hrs/wk)</t>
  </si>
  <si>
    <t>FY14: 7/1 - 9/15 ($13/hr);  FY15: 6/16-6/30 ($13/hr, 19 hrs/wk)</t>
  </si>
  <si>
    <t>snacks in 2013; lunch and snacks in 2014</t>
  </si>
  <si>
    <t>Budget dean gives $1000 to grads out of dean's travel budget; FY15: sending student to AASHE; no confor $$</t>
  </si>
  <si>
    <t>30th reunion</t>
  </si>
  <si>
    <t>includes tri-fold, envelopes, bus cards, new table banner (FY14), copy center stuff, postcards, bookmarks; FY15 - trifolds only?</t>
  </si>
  <si>
    <t>carry forward</t>
  </si>
  <si>
    <t>FY14: 1 amb had work study; FY15: 1 amb eligible for work-study ($900)</t>
  </si>
  <si>
    <t>FY14: 5/12 - 6/15 (11/hr,496 w/s); FY15: 9/16 - 6/15, $11/hr, minus 2 weeks), w/s 5500</t>
  </si>
  <si>
    <t>FY15: 8/18-9/15 ($11/hr, 15 hrs/week)</t>
  </si>
  <si>
    <t>share cost w/MPA, put it on 25102 for FY14 and FY15</t>
  </si>
  <si>
    <t>ppt clicker in FY14</t>
  </si>
  <si>
    <t>graduate recruitment association; paid for FY14 and FY15 out of FY14, pay for FY16 out of FY16</t>
  </si>
  <si>
    <t>for food; just coffee and snacks in 2014; paid for out of 25101, since also bought orientation snacks</t>
  </si>
  <si>
    <t>FY14: Idealist, NCUR, Diversity Fairs, E2E, AASHE, UCSC, NY, AASHE fall 14 included paying for alums to table; FY15: NCUR ($300), UCSC ($315), Diversity fairs (went up to $1020),AASHE ($350 - for Rhianna &amp; Anna + $180 for carpet)</t>
  </si>
  <si>
    <t>FY15 Actual</t>
  </si>
  <si>
    <t>FY15 Avail:</t>
  </si>
  <si>
    <t>includes ambassador and assistant travel; for diversity fairs, NCUR, UCSC, Humboldt, AASHE, local</t>
  </si>
  <si>
    <t>travel</t>
  </si>
  <si>
    <t>ACV SD flight</t>
  </si>
  <si>
    <t>SD hotel</t>
  </si>
  <si>
    <t>AASHE hotel</t>
  </si>
  <si>
    <t>AASHE per diem</t>
  </si>
  <si>
    <t>AASHE car</t>
  </si>
  <si>
    <t>UCSC flight</t>
  </si>
  <si>
    <t>Bay Area car</t>
  </si>
  <si>
    <t>total</t>
  </si>
  <si>
    <t>Santa Rosa hoel</t>
  </si>
  <si>
    <t>Santa Rosa flight</t>
  </si>
  <si>
    <t>Spokane car</t>
  </si>
  <si>
    <t>Spokane hotel</t>
  </si>
  <si>
    <t>Spokane per diem</t>
  </si>
  <si>
    <t>Bay area per diem</t>
  </si>
  <si>
    <t>Santa Rosa per diem</t>
  </si>
  <si>
    <t>ACV/SD per diem</t>
  </si>
  <si>
    <t>or</t>
  </si>
  <si>
    <t>local stuff</t>
  </si>
  <si>
    <t>SD flight</t>
  </si>
  <si>
    <t>SD per diem</t>
  </si>
  <si>
    <t>Santa Rosa hotel</t>
  </si>
  <si>
    <t>travel to/from seatac</t>
  </si>
  <si>
    <t>travel to/from diversity</t>
  </si>
  <si>
    <t>ACV drive</t>
  </si>
  <si>
    <t>ACV per diem</t>
  </si>
  <si>
    <t>ACV hotel - maybe</t>
  </si>
  <si>
    <t>CEDD</t>
  </si>
  <si>
    <t>FY15 available funds: $7400 (no CF because overspent by $172)</t>
  </si>
  <si>
    <t>FY15 available funds excluding AD salary/benefits (includes NCSE): 12760 + 9770 + 1275 +195 = 24,000 + $500CF = 24,500 (CF included about $200 leftover from payroll/benefits and subtracted $172 because 25102 overspent)</t>
  </si>
  <si>
    <t>FY14 - used work-study;  winter qtr 80 hours, spring qtr 120 hours @ $14/hour; might be possible GIS tutor too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</si>
</sst>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3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/>
    <xf numFmtId="44" fontId="3" fillId="2" borderId="3" xfId="1" applyFont="1" applyFill="1" applyBorder="1"/>
    <xf numFmtId="44" fontId="3" fillId="3" borderId="4" xfId="1" applyFont="1" applyFill="1" applyBorder="1"/>
    <xf numFmtId="44" fontId="3" fillId="4" borderId="4" xfId="1" applyFont="1" applyFill="1" applyBorder="1"/>
    <xf numFmtId="0" fontId="3" fillId="0" borderId="0" xfId="0" applyFont="1" applyFill="1" applyBorder="1"/>
    <xf numFmtId="0" fontId="3" fillId="0" borderId="5" xfId="0" applyFont="1" applyBorder="1"/>
    <xf numFmtId="44" fontId="3" fillId="2" borderId="6" xfId="1" applyFont="1" applyFill="1" applyBorder="1"/>
    <xf numFmtId="44" fontId="3" fillId="3" borderId="6" xfId="1" applyFont="1" applyFill="1" applyBorder="1"/>
    <xf numFmtId="0" fontId="2" fillId="0" borderId="0" xfId="0" applyFont="1" applyFill="1" applyBorder="1" applyAlignment="1">
      <alignment horizontal="right"/>
    </xf>
    <xf numFmtId="44" fontId="2" fillId="2" borderId="3" xfId="1" applyFont="1" applyFill="1" applyBorder="1"/>
    <xf numFmtId="44" fontId="2" fillId="3" borderId="4" xfId="1" applyFont="1" applyFill="1" applyBorder="1"/>
    <xf numFmtId="44" fontId="2" fillId="0" borderId="0" xfId="0" applyNumberFormat="1" applyFont="1"/>
    <xf numFmtId="44" fontId="4" fillId="3" borderId="4" xfId="1" applyFont="1" applyFill="1" applyBorder="1"/>
    <xf numFmtId="0" fontId="3" fillId="0" borderId="5" xfId="0" applyFont="1" applyFill="1" applyBorder="1"/>
    <xf numFmtId="44" fontId="3" fillId="3" borderId="7" xfId="1" applyFont="1" applyFill="1" applyBorder="1"/>
    <xf numFmtId="0" fontId="3" fillId="0" borderId="0" xfId="0" applyFont="1" applyFill="1"/>
    <xf numFmtId="44" fontId="2" fillId="2" borderId="3" xfId="1" applyFont="1" applyFill="1" applyBorder="1" applyAlignment="1">
      <alignment horizontal="right"/>
    </xf>
    <xf numFmtId="0" fontId="2" fillId="0" borderId="0" xfId="0" applyFont="1" applyFill="1"/>
    <xf numFmtId="44" fontId="5" fillId="2" borderId="3" xfId="1" applyFont="1" applyFill="1" applyBorder="1"/>
    <xf numFmtId="44" fontId="5" fillId="3" borderId="4" xfId="1" applyFont="1" applyFill="1" applyBorder="1"/>
    <xf numFmtId="0" fontId="5" fillId="0" borderId="0" xfId="0" applyFont="1"/>
    <xf numFmtId="44" fontId="4" fillId="4" borderId="4" xfId="1" applyFont="1" applyFill="1" applyBorder="1"/>
    <xf numFmtId="44" fontId="2" fillId="4" borderId="3" xfId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4" fontId="2" fillId="2" borderId="6" xfId="1" applyFont="1" applyFill="1" applyBorder="1"/>
    <xf numFmtId="44" fontId="2" fillId="4" borderId="6" xfId="1" applyFont="1" applyFill="1" applyBorder="1"/>
    <xf numFmtId="44" fontId="0" fillId="0" borderId="0" xfId="0" applyNumberFormat="1"/>
    <xf numFmtId="0" fontId="7" fillId="0" borderId="0" xfId="0" applyFont="1"/>
    <xf numFmtId="0" fontId="7" fillId="5" borderId="1" xfId="0" applyFont="1" applyFill="1" applyBorder="1"/>
    <xf numFmtId="0" fontId="7" fillId="3" borderId="2" xfId="0" applyFont="1" applyFill="1" applyBorder="1"/>
    <xf numFmtId="0" fontId="0" fillId="5" borderId="3" xfId="0" applyFill="1" applyBorder="1"/>
    <xf numFmtId="0" fontId="0" fillId="3" borderId="4" xfId="0" applyFill="1" applyBorder="1"/>
    <xf numFmtId="0" fontId="8" fillId="0" borderId="0" xfId="0" applyFont="1"/>
    <xf numFmtId="0" fontId="0" fillId="0" borderId="0" xfId="0" applyFill="1"/>
    <xf numFmtId="44" fontId="0" fillId="5" borderId="3" xfId="1" applyFont="1" applyFill="1" applyBorder="1"/>
    <xf numFmtId="44" fontId="0" fillId="4" borderId="4" xfId="1" applyFont="1" applyFill="1" applyBorder="1"/>
    <xf numFmtId="0" fontId="9" fillId="0" borderId="0" xfId="0" applyFont="1" applyFill="1"/>
    <xf numFmtId="44" fontId="0" fillId="3" borderId="4" xfId="1" applyFont="1" applyFill="1" applyBorder="1"/>
    <xf numFmtId="0" fontId="9" fillId="0" borderId="0" xfId="0" applyFont="1"/>
    <xf numFmtId="0" fontId="0" fillId="0" borderId="5" xfId="0" applyBorder="1"/>
    <xf numFmtId="44" fontId="0" fillId="5" borderId="6" xfId="1" applyFont="1" applyFill="1" applyBorder="1"/>
    <xf numFmtId="44" fontId="0" fillId="3" borderId="7" xfId="1" applyFont="1" applyFill="1" applyBorder="1"/>
    <xf numFmtId="0" fontId="7" fillId="0" borderId="0" xfId="0" applyFont="1" applyAlignment="1">
      <alignment horizontal="right"/>
    </xf>
    <xf numFmtId="44" fontId="7" fillId="5" borderId="3" xfId="1" applyFont="1" applyFill="1" applyBorder="1" applyAlignment="1">
      <alignment horizontal="right"/>
    </xf>
    <xf numFmtId="44" fontId="7" fillId="3" borderId="4" xfId="1" applyFont="1" applyFill="1" applyBorder="1"/>
    <xf numFmtId="44" fontId="0" fillId="5" borderId="3" xfId="1" applyFont="1" applyFill="1" applyBorder="1" applyAlignment="1">
      <alignment horizontal="right"/>
    </xf>
    <xf numFmtId="44" fontId="0" fillId="5" borderId="6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5" xfId="0" applyFill="1" applyBorder="1"/>
    <xf numFmtId="0" fontId="10" fillId="0" borderId="0" xfId="0" applyFont="1"/>
    <xf numFmtId="44" fontId="6" fillId="3" borderId="4" xfId="1" applyFont="1" applyFill="1" applyBorder="1"/>
    <xf numFmtId="44" fontId="7" fillId="5" borderId="6" xfId="1" applyFont="1" applyFill="1" applyBorder="1" applyAlignment="1">
      <alignment horizontal="right"/>
    </xf>
    <xf numFmtId="44" fontId="7" fillId="3" borderId="7" xfId="1" applyFont="1" applyFill="1" applyBorder="1"/>
    <xf numFmtId="0" fontId="11" fillId="0" borderId="0" xfId="0" applyFont="1"/>
    <xf numFmtId="9" fontId="11" fillId="0" borderId="0" xfId="2" applyFont="1"/>
    <xf numFmtId="0" fontId="3" fillId="0" borderId="0" xfId="0" applyFont="1" applyFill="1" applyAlignment="1">
      <alignment wrapText="1"/>
    </xf>
    <xf numFmtId="0" fontId="0" fillId="0" borderId="0" xfId="0" quotePrefix="1"/>
    <xf numFmtId="0" fontId="12" fillId="0" borderId="0" xfId="0" applyFont="1"/>
    <xf numFmtId="44" fontId="6" fillId="6" borderId="0" xfId="1" applyFont="1" applyFill="1"/>
    <xf numFmtId="44" fontId="0" fillId="6" borderId="0" xfId="1" applyFont="1" applyFill="1"/>
    <xf numFmtId="44" fontId="0" fillId="6" borderId="5" xfId="1" applyFont="1" applyFill="1" applyBorder="1"/>
    <xf numFmtId="44" fontId="0" fillId="6" borderId="8" xfId="1" applyFont="1" applyFill="1" applyBorder="1"/>
    <xf numFmtId="44" fontId="2" fillId="6" borderId="4" xfId="1" applyFont="1" applyFill="1" applyBorder="1"/>
    <xf numFmtId="44" fontId="2" fillId="6" borderId="3" xfId="1" applyFont="1" applyFill="1" applyBorder="1" applyAlignment="1">
      <alignment horizontal="right"/>
    </xf>
    <xf numFmtId="44" fontId="2" fillId="6" borderId="6" xfId="1" applyFont="1" applyFill="1" applyBorder="1"/>
    <xf numFmtId="44" fontId="2" fillId="6" borderId="0" xfId="1" applyFont="1" applyFill="1" applyBorder="1"/>
    <xf numFmtId="44" fontId="2" fillId="0" borderId="0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5" zoomScaleNormal="85" workbookViewId="0">
      <selection activeCell="C32" sqref="C32"/>
    </sheetView>
  </sheetViews>
  <sheetFormatPr defaultRowHeight="15" x14ac:dyDescent="0.25"/>
  <cols>
    <col min="1" max="1" width="43.42578125" customWidth="1"/>
    <col min="2" max="3" width="12.7109375" bestFit="1" customWidth="1"/>
    <col min="4" max="4" width="13.85546875" customWidth="1"/>
    <col min="5" max="5" width="79.5703125" customWidth="1"/>
    <col min="9" max="9" width="22.42578125" bestFit="1" customWidth="1"/>
    <col min="12" max="12" width="20.42578125" bestFit="1" customWidth="1"/>
    <col min="13" max="13" width="10.5703125" bestFit="1" customWidth="1"/>
  </cols>
  <sheetData>
    <row r="1" spans="1:13" x14ac:dyDescent="0.25">
      <c r="A1" s="1" t="s">
        <v>91</v>
      </c>
      <c r="B1" s="1"/>
      <c r="C1" s="1"/>
      <c r="D1" s="1"/>
      <c r="E1" s="1"/>
    </row>
    <row r="2" spans="1:13" x14ac:dyDescent="0.25">
      <c r="A2" s="1" t="s">
        <v>0</v>
      </c>
      <c r="B2" s="1"/>
      <c r="C2" s="1"/>
      <c r="D2" s="1"/>
      <c r="E2" s="1"/>
    </row>
    <row r="3" spans="1:13" x14ac:dyDescent="0.25">
      <c r="A3" s="1" t="s">
        <v>47</v>
      </c>
      <c r="B3" s="1"/>
      <c r="C3" s="1"/>
      <c r="D3" s="1"/>
      <c r="E3" s="1"/>
    </row>
    <row r="4" spans="1:13" x14ac:dyDescent="0.25">
      <c r="A4" s="1" t="s">
        <v>141</v>
      </c>
      <c r="B4" s="1"/>
      <c r="C4" s="1"/>
      <c r="D4" s="1"/>
      <c r="E4" s="1"/>
    </row>
    <row r="5" spans="1:13" x14ac:dyDescent="0.25">
      <c r="A5" s="2"/>
      <c r="B5" s="3" t="s">
        <v>42</v>
      </c>
      <c r="C5" s="4" t="s">
        <v>43</v>
      </c>
      <c r="D5" s="64" t="s">
        <v>109</v>
      </c>
      <c r="E5" s="2" t="s">
        <v>1</v>
      </c>
    </row>
    <row r="6" spans="1:13" x14ac:dyDescent="0.25">
      <c r="A6" s="1" t="s">
        <v>48</v>
      </c>
      <c r="B6" s="5">
        <v>11227</v>
      </c>
      <c r="C6" s="6">
        <f>9770+1275+195</f>
        <v>11240</v>
      </c>
      <c r="D6" s="65"/>
      <c r="E6" s="2"/>
    </row>
    <row r="7" spans="1:13" x14ac:dyDescent="0.25">
      <c r="A7" s="2" t="s">
        <v>2</v>
      </c>
      <c r="B7" s="7">
        <v>0</v>
      </c>
      <c r="C7" s="8">
        <v>0</v>
      </c>
      <c r="D7" s="65"/>
      <c r="E7" s="2" t="s">
        <v>3</v>
      </c>
    </row>
    <row r="8" spans="1:13" x14ac:dyDescent="0.25">
      <c r="A8" s="2" t="s">
        <v>54</v>
      </c>
      <c r="B8" s="7">
        <v>0</v>
      </c>
      <c r="C8" s="8">
        <v>400</v>
      </c>
      <c r="D8" s="65"/>
      <c r="E8" s="2"/>
    </row>
    <row r="9" spans="1:13" x14ac:dyDescent="0.25">
      <c r="A9" s="2" t="s">
        <v>4</v>
      </c>
      <c r="B9" s="7">
        <f>803.92*0.25</f>
        <v>200.98</v>
      </c>
      <c r="C9" s="8">
        <f>((11*37*19)-5500)+(5500*0.25)</f>
        <v>3608</v>
      </c>
      <c r="D9" s="65"/>
      <c r="E9" s="2" t="s">
        <v>102</v>
      </c>
    </row>
    <row r="10" spans="1:13" x14ac:dyDescent="0.25">
      <c r="A10" s="10" t="s">
        <v>6</v>
      </c>
      <c r="B10" s="7">
        <f>132</f>
        <v>132</v>
      </c>
      <c r="C10" s="8">
        <f>(12*11*8)</f>
        <v>1056</v>
      </c>
      <c r="D10" s="65"/>
      <c r="E10" s="2" t="s">
        <v>94</v>
      </c>
      <c r="M10" s="32"/>
    </row>
    <row r="11" spans="1:13" x14ac:dyDescent="0.25">
      <c r="A11" s="10" t="s">
        <v>93</v>
      </c>
      <c r="B11" s="7">
        <v>0</v>
      </c>
      <c r="C11" s="8">
        <f>15*4*11</f>
        <v>660</v>
      </c>
      <c r="D11" s="65"/>
      <c r="E11" s="2" t="s">
        <v>103</v>
      </c>
      <c r="M11" s="32"/>
    </row>
    <row r="12" spans="1:13" x14ac:dyDescent="0.25">
      <c r="A12" s="2" t="s">
        <v>5</v>
      </c>
      <c r="B12" s="7">
        <f>(6918*0.25)</f>
        <v>1729.5</v>
      </c>
      <c r="C12" s="8"/>
      <c r="D12" s="65"/>
      <c r="E12" s="2" t="s">
        <v>46</v>
      </c>
      <c r="M12" s="32"/>
    </row>
    <row r="13" spans="1:13" x14ac:dyDescent="0.25">
      <c r="A13" s="2" t="s">
        <v>45</v>
      </c>
      <c r="B13" s="7">
        <v>3154.67</v>
      </c>
      <c r="C13" s="8">
        <f>13*2*19</f>
        <v>494</v>
      </c>
      <c r="D13" s="65"/>
      <c r="E13" s="2" t="s">
        <v>95</v>
      </c>
    </row>
    <row r="14" spans="1:13" x14ac:dyDescent="0.25">
      <c r="A14" s="10" t="s">
        <v>44</v>
      </c>
      <c r="B14" s="7">
        <v>1398</v>
      </c>
      <c r="C14" s="8">
        <f>12*10*30*0.25</f>
        <v>900</v>
      </c>
      <c r="D14" s="65"/>
      <c r="E14" s="2" t="s">
        <v>73</v>
      </c>
      <c r="I14" t="s">
        <v>112</v>
      </c>
      <c r="K14" t="s">
        <v>129</v>
      </c>
    </row>
    <row r="15" spans="1:13" x14ac:dyDescent="0.25">
      <c r="A15" s="11" t="s">
        <v>7</v>
      </c>
      <c r="B15" s="12">
        <f>1800+225</f>
        <v>2025</v>
      </c>
      <c r="C15" s="13">
        <v>2025</v>
      </c>
      <c r="D15" s="67"/>
      <c r="E15" s="11" t="s">
        <v>101</v>
      </c>
      <c r="I15" t="s">
        <v>113</v>
      </c>
      <c r="J15">
        <v>900</v>
      </c>
      <c r="L15" t="s">
        <v>131</v>
      </c>
      <c r="M15">
        <v>200</v>
      </c>
    </row>
    <row r="16" spans="1:13" x14ac:dyDescent="0.25">
      <c r="A16" s="14" t="s">
        <v>8</v>
      </c>
      <c r="B16" s="15">
        <f>SUM(B7:B15)</f>
        <v>8640.15</v>
      </c>
      <c r="C16" s="16">
        <f>SUM(C7:C15)</f>
        <v>9143</v>
      </c>
      <c r="D16" s="68">
        <f>SUM(D7:D15)</f>
        <v>0</v>
      </c>
      <c r="E16" s="17"/>
      <c r="I16" t="s">
        <v>114</v>
      </c>
      <c r="J16">
        <v>100</v>
      </c>
      <c r="L16" t="s">
        <v>114</v>
      </c>
      <c r="M16">
        <v>100</v>
      </c>
    </row>
    <row r="17" spans="1:13" x14ac:dyDescent="0.25">
      <c r="A17" s="1" t="s">
        <v>9</v>
      </c>
      <c r="B17" s="7"/>
      <c r="C17" s="8"/>
      <c r="D17" s="65"/>
      <c r="E17" s="2"/>
      <c r="I17" t="s">
        <v>128</v>
      </c>
      <c r="J17">
        <f>60*5</f>
        <v>300</v>
      </c>
      <c r="L17" t="s">
        <v>132</v>
      </c>
      <c r="M17">
        <v>60</v>
      </c>
    </row>
    <row r="18" spans="1:13" x14ac:dyDescent="0.25">
      <c r="A18" s="2" t="s">
        <v>98</v>
      </c>
      <c r="B18" s="7">
        <v>0</v>
      </c>
      <c r="C18" s="8">
        <v>0</v>
      </c>
      <c r="D18" s="65"/>
      <c r="E18" s="2"/>
      <c r="I18" t="s">
        <v>115</v>
      </c>
      <c r="J18">
        <v>300</v>
      </c>
      <c r="L18" t="s">
        <v>115</v>
      </c>
      <c r="M18">
        <v>300</v>
      </c>
    </row>
    <row r="19" spans="1:13" x14ac:dyDescent="0.25">
      <c r="A19" s="19" t="s">
        <v>10</v>
      </c>
      <c r="B19" s="12">
        <v>0</v>
      </c>
      <c r="C19" s="20">
        <v>0</v>
      </c>
      <c r="D19" s="67"/>
      <c r="E19" s="21"/>
      <c r="I19" t="s">
        <v>116</v>
      </c>
      <c r="J19">
        <f>5*25</f>
        <v>125</v>
      </c>
      <c r="L19" t="s">
        <v>116</v>
      </c>
      <c r="M19">
        <f>5*25</f>
        <v>125</v>
      </c>
    </row>
    <row r="20" spans="1:13" x14ac:dyDescent="0.25">
      <c r="A20" s="14" t="s">
        <v>8</v>
      </c>
      <c r="B20" s="22">
        <f>SUM(B19:B19)</f>
        <v>0</v>
      </c>
      <c r="C20" s="16">
        <f>SUM(C18:C19)</f>
        <v>0</v>
      </c>
      <c r="D20" s="68">
        <f>SUM(D18:D19)</f>
        <v>0</v>
      </c>
      <c r="E20" s="17"/>
      <c r="I20" t="s">
        <v>117</v>
      </c>
      <c r="J20">
        <v>150</v>
      </c>
      <c r="L20" t="s">
        <v>117</v>
      </c>
      <c r="M20">
        <v>150</v>
      </c>
    </row>
    <row r="21" spans="1:13" x14ac:dyDescent="0.25">
      <c r="A21" s="23" t="s">
        <v>11</v>
      </c>
      <c r="B21" s="24"/>
      <c r="C21" s="25"/>
      <c r="D21" s="65"/>
      <c r="E21" s="26"/>
      <c r="I21" t="s">
        <v>118</v>
      </c>
      <c r="J21">
        <v>183</v>
      </c>
      <c r="L21" t="s">
        <v>118</v>
      </c>
      <c r="M21">
        <v>183</v>
      </c>
    </row>
    <row r="22" spans="1:13" x14ac:dyDescent="0.25">
      <c r="A22" s="21" t="s">
        <v>12</v>
      </c>
      <c r="B22" s="7">
        <v>0</v>
      </c>
      <c r="C22" s="9">
        <v>0</v>
      </c>
      <c r="D22" s="65"/>
      <c r="E22" s="21"/>
      <c r="I22" t="s">
        <v>119</v>
      </c>
      <c r="J22">
        <v>150</v>
      </c>
      <c r="L22" t="s">
        <v>119</v>
      </c>
      <c r="M22">
        <v>150</v>
      </c>
    </row>
    <row r="23" spans="1:13" x14ac:dyDescent="0.25">
      <c r="A23" s="21" t="s">
        <v>13</v>
      </c>
      <c r="B23" s="7">
        <v>192.45</v>
      </c>
      <c r="C23" s="8">
        <v>180</v>
      </c>
      <c r="D23" s="65"/>
      <c r="E23" s="21" t="s">
        <v>92</v>
      </c>
      <c r="I23" t="s">
        <v>121</v>
      </c>
      <c r="J23">
        <v>100</v>
      </c>
      <c r="L23" t="s">
        <v>133</v>
      </c>
      <c r="M23">
        <v>100</v>
      </c>
    </row>
    <row r="24" spans="1:13" x14ac:dyDescent="0.25">
      <c r="A24" s="21" t="s">
        <v>14</v>
      </c>
      <c r="B24" s="7">
        <v>18</v>
      </c>
      <c r="C24" s="18">
        <v>20</v>
      </c>
      <c r="D24" s="65"/>
      <c r="E24" s="21"/>
      <c r="I24" t="s">
        <v>122</v>
      </c>
      <c r="J24">
        <v>200</v>
      </c>
      <c r="L24" t="s">
        <v>122</v>
      </c>
      <c r="M24">
        <v>200</v>
      </c>
    </row>
    <row r="25" spans="1:13" x14ac:dyDescent="0.25">
      <c r="A25" s="21" t="s">
        <v>15</v>
      </c>
      <c r="B25" s="7">
        <v>780.51</v>
      </c>
      <c r="C25" s="9">
        <v>780</v>
      </c>
      <c r="D25" s="65"/>
      <c r="E25" s="21"/>
      <c r="I25" t="s">
        <v>123</v>
      </c>
      <c r="J25">
        <v>200</v>
      </c>
      <c r="L25" t="s">
        <v>123</v>
      </c>
      <c r="M25">
        <v>200</v>
      </c>
    </row>
    <row r="26" spans="1:13" x14ac:dyDescent="0.25">
      <c r="A26" s="21" t="s">
        <v>16</v>
      </c>
      <c r="B26" s="7">
        <v>0</v>
      </c>
      <c r="C26" s="9"/>
      <c r="D26" s="65"/>
      <c r="E26" s="21"/>
      <c r="I26" t="s">
        <v>124</v>
      </c>
      <c r="J26">
        <v>300</v>
      </c>
      <c r="L26" t="s">
        <v>124</v>
      </c>
      <c r="M26">
        <v>300</v>
      </c>
    </row>
    <row r="27" spans="1:13" x14ac:dyDescent="0.25">
      <c r="A27" s="21" t="s">
        <v>17</v>
      </c>
      <c r="B27" s="7">
        <v>1400</v>
      </c>
      <c r="C27" s="9">
        <v>0</v>
      </c>
      <c r="D27" s="65"/>
      <c r="E27" s="21" t="s">
        <v>75</v>
      </c>
      <c r="I27" t="s">
        <v>125</v>
      </c>
      <c r="J27">
        <v>150</v>
      </c>
      <c r="L27" t="s">
        <v>125</v>
      </c>
      <c r="M27">
        <v>150</v>
      </c>
    </row>
    <row r="28" spans="1:13" x14ac:dyDescent="0.25">
      <c r="A28" s="21" t="s">
        <v>18</v>
      </c>
      <c r="B28" s="7">
        <f>171.19+44.22+36.35+1695.37+240+177.02+446.52+342.41</f>
        <v>3153.08</v>
      </c>
      <c r="C28" s="9">
        <v>1700</v>
      </c>
      <c r="D28" s="65"/>
      <c r="E28" s="21" t="s">
        <v>99</v>
      </c>
      <c r="I28" t="s">
        <v>126</v>
      </c>
      <c r="J28">
        <v>120</v>
      </c>
      <c r="L28" t="s">
        <v>126</v>
      </c>
      <c r="M28">
        <v>120</v>
      </c>
    </row>
    <row r="29" spans="1:13" x14ac:dyDescent="0.25">
      <c r="A29" s="21" t="s">
        <v>19</v>
      </c>
      <c r="B29" s="7">
        <v>0</v>
      </c>
      <c r="C29" s="8">
        <v>0</v>
      </c>
      <c r="D29" s="65"/>
      <c r="E29" s="21" t="s">
        <v>51</v>
      </c>
      <c r="I29" t="s">
        <v>127</v>
      </c>
      <c r="J29">
        <v>60</v>
      </c>
      <c r="L29" t="s">
        <v>127</v>
      </c>
      <c r="M29">
        <v>60</v>
      </c>
    </row>
    <row r="30" spans="1:13" ht="39" x14ac:dyDescent="0.25">
      <c r="A30" s="21" t="s">
        <v>20</v>
      </c>
      <c r="B30" s="7">
        <f>50+750+300+495+210+225+1100+235</f>
        <v>3365</v>
      </c>
      <c r="C30" s="9">
        <f>1020+315+300+350+180</f>
        <v>2165</v>
      </c>
      <c r="D30" s="65">
        <f>315+1020+350+180+300</f>
        <v>2165</v>
      </c>
      <c r="E30" s="61" t="s">
        <v>108</v>
      </c>
      <c r="I30" t="s">
        <v>130</v>
      </c>
      <c r="J30">
        <v>100</v>
      </c>
      <c r="L30" t="s">
        <v>130</v>
      </c>
      <c r="M30">
        <v>100</v>
      </c>
    </row>
    <row r="31" spans="1:13" ht="26.25" x14ac:dyDescent="0.25">
      <c r="A31" s="19" t="s">
        <v>21</v>
      </c>
      <c r="B31" s="12">
        <f>45.54+248.76+22.04+49+66.99+454.36+432.44+16.99+175.91+273.8+101.84+250.21+268.8+739.54+229.01+455.7+39.55+100+200+338+793+124+107.75+343.82+57+173+290.31+32.51+17.68+53</f>
        <v>6500.5500000000011</v>
      </c>
      <c r="C31" s="20">
        <v>3552</v>
      </c>
      <c r="D31" s="66"/>
      <c r="E31" s="61" t="s">
        <v>111</v>
      </c>
      <c r="I31" t="s">
        <v>134</v>
      </c>
      <c r="J31">
        <f>80*3</f>
        <v>240</v>
      </c>
      <c r="L31" t="s">
        <v>134</v>
      </c>
      <c r="M31">
        <f>80*3</f>
        <v>240</v>
      </c>
    </row>
    <row r="32" spans="1:13" x14ac:dyDescent="0.25">
      <c r="A32" s="14" t="s">
        <v>8</v>
      </c>
      <c r="B32" s="22">
        <f>SUM(B22:B31)</f>
        <v>15409.590000000002</v>
      </c>
      <c r="C32" s="16">
        <f>SUM(C22:C31)</f>
        <v>8397</v>
      </c>
      <c r="D32" s="68">
        <f>SUM(D22:D31)</f>
        <v>2165</v>
      </c>
      <c r="E32" s="17"/>
      <c r="I32" t="s">
        <v>135</v>
      </c>
      <c r="J32">
        <f>100</f>
        <v>100</v>
      </c>
      <c r="L32" t="s">
        <v>135</v>
      </c>
      <c r="M32">
        <f>100</f>
        <v>100</v>
      </c>
    </row>
    <row r="33" spans="1:13" x14ac:dyDescent="0.25">
      <c r="A33" s="23" t="s">
        <v>22</v>
      </c>
      <c r="B33" s="7"/>
      <c r="C33" s="8"/>
      <c r="D33" s="65"/>
      <c r="E33" s="26"/>
      <c r="L33" t="s">
        <v>136</v>
      </c>
      <c r="M33">
        <v>250</v>
      </c>
    </row>
    <row r="34" spans="1:13" x14ac:dyDescent="0.25">
      <c r="A34" s="21" t="s">
        <v>23</v>
      </c>
      <c r="B34" s="7">
        <v>268.61</v>
      </c>
      <c r="C34" s="9">
        <v>175</v>
      </c>
      <c r="D34" s="65"/>
      <c r="E34" s="21" t="s">
        <v>24</v>
      </c>
      <c r="L34" t="s">
        <v>137</v>
      </c>
      <c r="M34">
        <v>200</v>
      </c>
    </row>
    <row r="35" spans="1:13" x14ac:dyDescent="0.25">
      <c r="A35" s="21" t="s">
        <v>52</v>
      </c>
      <c r="B35" s="7">
        <v>51.57</v>
      </c>
      <c r="C35" s="9"/>
      <c r="D35" s="65"/>
      <c r="E35" s="21" t="s">
        <v>53</v>
      </c>
      <c r="L35" t="s">
        <v>138</v>
      </c>
      <c r="M35">
        <v>100</v>
      </c>
    </row>
    <row r="36" spans="1:13" x14ac:dyDescent="0.25">
      <c r="A36" s="21" t="s">
        <v>25</v>
      </c>
      <c r="B36" s="7">
        <v>492.67</v>
      </c>
      <c r="C36" s="8">
        <v>495</v>
      </c>
      <c r="D36" s="65"/>
      <c r="E36" s="21"/>
    </row>
    <row r="37" spans="1:13" x14ac:dyDescent="0.25">
      <c r="A37" s="21" t="s">
        <v>26</v>
      </c>
      <c r="B37" s="7">
        <v>210.57</v>
      </c>
      <c r="C37" s="8">
        <v>125</v>
      </c>
      <c r="D37" s="65"/>
      <c r="E37" s="61" t="s">
        <v>74</v>
      </c>
      <c r="I37" t="s">
        <v>120</v>
      </c>
      <c r="J37">
        <f>SUM(J15:J36)</f>
        <v>3778</v>
      </c>
      <c r="L37" t="s">
        <v>120</v>
      </c>
      <c r="M37">
        <f>SUM(M15:M36)</f>
        <v>3388</v>
      </c>
    </row>
    <row r="38" spans="1:13" x14ac:dyDescent="0.25">
      <c r="A38" s="21" t="s">
        <v>27</v>
      </c>
      <c r="B38" s="7">
        <v>0</v>
      </c>
      <c r="C38" s="8">
        <v>0</v>
      </c>
      <c r="D38" s="65"/>
      <c r="E38" s="21"/>
    </row>
    <row r="39" spans="1:13" x14ac:dyDescent="0.25">
      <c r="A39" s="21" t="s">
        <v>28</v>
      </c>
      <c r="B39" s="7">
        <v>0</v>
      </c>
      <c r="C39" s="8"/>
      <c r="D39" s="65"/>
      <c r="E39" s="21" t="s">
        <v>104</v>
      </c>
    </row>
    <row r="40" spans="1:13" x14ac:dyDescent="0.25">
      <c r="A40" s="21" t="s">
        <v>29</v>
      </c>
      <c r="B40" s="7">
        <v>95</v>
      </c>
      <c r="C40" s="27">
        <v>0</v>
      </c>
      <c r="D40" s="65"/>
      <c r="E40" s="21" t="s">
        <v>105</v>
      </c>
    </row>
    <row r="41" spans="1:13" x14ac:dyDescent="0.25">
      <c r="A41" s="19" t="s">
        <v>100</v>
      </c>
      <c r="B41" s="12">
        <v>204.82</v>
      </c>
      <c r="C41" s="20">
        <v>0</v>
      </c>
      <c r="D41" s="66"/>
      <c r="E41" s="21"/>
    </row>
    <row r="42" spans="1:13" x14ac:dyDescent="0.25">
      <c r="A42" s="14" t="s">
        <v>8</v>
      </c>
      <c r="B42" s="22">
        <f>SUM(B34:B41)</f>
        <v>1323.24</v>
      </c>
      <c r="C42" s="16">
        <f>SUM(C34:C41)</f>
        <v>795</v>
      </c>
      <c r="D42" s="71">
        <f>SUM(D34:D41)</f>
        <v>0</v>
      </c>
      <c r="E42" s="72"/>
    </row>
    <row r="43" spans="1:13" x14ac:dyDescent="0.25">
      <c r="A43" s="1" t="s">
        <v>30</v>
      </c>
      <c r="B43" s="7"/>
      <c r="C43" s="8"/>
      <c r="D43" s="65"/>
      <c r="E43" s="26"/>
    </row>
    <row r="44" spans="1:13" x14ac:dyDescent="0.25">
      <c r="A44" s="21" t="s">
        <v>31</v>
      </c>
      <c r="B44" s="7">
        <v>450</v>
      </c>
      <c r="C44" s="8">
        <v>0</v>
      </c>
      <c r="D44" s="65"/>
      <c r="E44" s="2" t="s">
        <v>106</v>
      </c>
    </row>
    <row r="45" spans="1:13" x14ac:dyDescent="0.25">
      <c r="A45" s="21" t="s">
        <v>32</v>
      </c>
      <c r="B45" s="7">
        <v>2800</v>
      </c>
      <c r="C45" s="8">
        <v>3000</v>
      </c>
      <c r="D45" s="65">
        <v>3000</v>
      </c>
      <c r="E45" s="2" t="s">
        <v>49</v>
      </c>
    </row>
    <row r="46" spans="1:13" x14ac:dyDescent="0.25">
      <c r="A46" s="21" t="s">
        <v>33</v>
      </c>
      <c r="B46" s="7"/>
      <c r="C46" s="8"/>
      <c r="D46" s="65"/>
      <c r="E46" s="2" t="s">
        <v>50</v>
      </c>
    </row>
    <row r="47" spans="1:13" x14ac:dyDescent="0.25">
      <c r="A47" s="19" t="s">
        <v>34</v>
      </c>
      <c r="B47" s="12">
        <v>0</v>
      </c>
      <c r="C47" s="20"/>
      <c r="D47" s="67"/>
      <c r="E47" s="2" t="s">
        <v>35</v>
      </c>
    </row>
    <row r="48" spans="1:13" x14ac:dyDescent="0.25">
      <c r="A48" s="14" t="s">
        <v>8</v>
      </c>
      <c r="B48" s="22">
        <f>SUM(B44:B47)</f>
        <v>3250</v>
      </c>
      <c r="C48" s="16">
        <f>SUM(C44:C47)</f>
        <v>3000</v>
      </c>
      <c r="D48" s="68">
        <f>SUM(D44:D47)</f>
        <v>3000</v>
      </c>
      <c r="E48" s="17"/>
    </row>
    <row r="49" spans="1:5" x14ac:dyDescent="0.25">
      <c r="A49" s="23" t="s">
        <v>36</v>
      </c>
      <c r="B49" s="7"/>
      <c r="C49" s="8"/>
      <c r="D49" s="65"/>
      <c r="E49" s="26"/>
    </row>
    <row r="50" spans="1:5" x14ac:dyDescent="0.25">
      <c r="A50" s="21" t="s">
        <v>37</v>
      </c>
      <c r="B50" s="7">
        <f>1145.82+21.5</f>
        <v>1167.32</v>
      </c>
      <c r="C50" s="8">
        <v>1150</v>
      </c>
      <c r="D50" s="65"/>
      <c r="E50" s="21"/>
    </row>
    <row r="51" spans="1:5" x14ac:dyDescent="0.25">
      <c r="A51" s="21" t="s">
        <v>38</v>
      </c>
      <c r="B51" s="7">
        <v>588.35</v>
      </c>
      <c r="C51" s="8">
        <v>725</v>
      </c>
      <c r="D51" s="65">
        <f>780.21</f>
        <v>780.21</v>
      </c>
      <c r="E51" s="21" t="s">
        <v>96</v>
      </c>
    </row>
    <row r="52" spans="1:5" x14ac:dyDescent="0.25">
      <c r="A52" s="19" t="s">
        <v>39</v>
      </c>
      <c r="B52" s="12">
        <v>1286.3499999999999</v>
      </c>
      <c r="C52" s="20">
        <v>1290</v>
      </c>
      <c r="D52" s="67"/>
      <c r="E52" s="2" t="s">
        <v>40</v>
      </c>
    </row>
    <row r="53" spans="1:5" x14ac:dyDescent="0.25">
      <c r="A53" s="14" t="s">
        <v>8</v>
      </c>
      <c r="B53" s="22">
        <f>SUM(B50:B52)</f>
        <v>3042.02</v>
      </c>
      <c r="C53" s="28">
        <f>SUM(C50:C52)</f>
        <v>3165</v>
      </c>
      <c r="D53" s="69">
        <f>SUM(D50:D52)</f>
        <v>780.21</v>
      </c>
      <c r="E53" s="2"/>
    </row>
    <row r="54" spans="1:5" x14ac:dyDescent="0.25">
      <c r="A54" s="29" t="s">
        <v>41</v>
      </c>
      <c r="B54" s="30">
        <f>B16+B20+B32+B42+B48+B53</f>
        <v>31665.000000000004</v>
      </c>
      <c r="C54" s="31">
        <f>C16+C20+C32+C42+C48+C53</f>
        <v>24500</v>
      </c>
      <c r="D54" s="70">
        <f>D16+D20+D32+D42+D48+D53</f>
        <v>5945.21</v>
      </c>
      <c r="E54" s="17"/>
    </row>
    <row r="56" spans="1:5" x14ac:dyDescent="0.25">
      <c r="C56" t="s">
        <v>110</v>
      </c>
      <c r="D56" s="32">
        <f>C54-D54</f>
        <v>18554.79</v>
      </c>
    </row>
  </sheetData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7" zoomScale="190" zoomScaleNormal="190" workbookViewId="0">
      <selection activeCell="D19" sqref="D19"/>
    </sheetView>
  </sheetViews>
  <sheetFormatPr defaultRowHeight="15" x14ac:dyDescent="0.25"/>
  <cols>
    <col min="1" max="1" width="36.7109375" customWidth="1"/>
    <col min="2" max="2" width="14.42578125" bestFit="1" customWidth="1"/>
    <col min="3" max="3" width="14.140625" bestFit="1" customWidth="1"/>
    <col min="4" max="4" width="11.28515625" customWidth="1"/>
  </cols>
  <sheetData>
    <row r="1" spans="1:6" x14ac:dyDescent="0.25">
      <c r="A1" s="33" t="s">
        <v>89</v>
      </c>
    </row>
    <row r="2" spans="1:6" x14ac:dyDescent="0.25">
      <c r="A2" s="33" t="s">
        <v>90</v>
      </c>
    </row>
    <row r="3" spans="1:6" x14ac:dyDescent="0.25">
      <c r="A3" s="33" t="s">
        <v>88</v>
      </c>
    </row>
    <row r="4" spans="1:6" x14ac:dyDescent="0.25">
      <c r="A4" s="33" t="s">
        <v>140</v>
      </c>
    </row>
    <row r="5" spans="1:6" x14ac:dyDescent="0.25">
      <c r="A5" s="33"/>
      <c r="F5" s="62" t="s">
        <v>87</v>
      </c>
    </row>
    <row r="6" spans="1:6" x14ac:dyDescent="0.25">
      <c r="B6" s="34" t="s">
        <v>42</v>
      </c>
      <c r="C6" s="35" t="s">
        <v>43</v>
      </c>
      <c r="D6" t="s">
        <v>1</v>
      </c>
    </row>
    <row r="7" spans="1:6" x14ac:dyDescent="0.25">
      <c r="A7" s="33"/>
      <c r="B7" s="36"/>
      <c r="C7" s="37"/>
      <c r="D7" s="38"/>
    </row>
    <row r="8" spans="1:6" x14ac:dyDescent="0.25">
      <c r="A8" s="33" t="s">
        <v>55</v>
      </c>
      <c r="B8" s="36"/>
      <c r="C8" s="37"/>
    </row>
    <row r="9" spans="1:6" s="39" customFormat="1" x14ac:dyDescent="0.25">
      <c r="A9" s="39" t="s">
        <v>56</v>
      </c>
      <c r="B9" s="40">
        <f>373.06+246+164+328+164</f>
        <v>1275.06</v>
      </c>
      <c r="C9" s="41">
        <v>1400</v>
      </c>
      <c r="D9" s="42"/>
    </row>
    <row r="10" spans="1:6" s="39" customFormat="1" x14ac:dyDescent="0.25">
      <c r="A10" s="39" t="s">
        <v>57</v>
      </c>
      <c r="B10" s="40">
        <v>0</v>
      </c>
      <c r="C10" s="41">
        <v>0</v>
      </c>
      <c r="D10" s="42"/>
    </row>
    <row r="11" spans="1:6" x14ac:dyDescent="0.25">
      <c r="A11" t="s">
        <v>58</v>
      </c>
      <c r="B11" s="40">
        <v>0</v>
      </c>
      <c r="C11" s="43">
        <v>0</v>
      </c>
      <c r="D11" s="44"/>
    </row>
    <row r="12" spans="1:6" x14ac:dyDescent="0.25">
      <c r="A12" t="s">
        <v>59</v>
      </c>
      <c r="B12" s="40">
        <v>0</v>
      </c>
      <c r="C12" s="43"/>
      <c r="D12" s="44"/>
    </row>
    <row r="13" spans="1:6" x14ac:dyDescent="0.25">
      <c r="A13" s="45" t="s">
        <v>60</v>
      </c>
      <c r="B13" s="46">
        <f>125+125+125+125+325+4</f>
        <v>829</v>
      </c>
      <c r="C13" s="47">
        <f>3*375</f>
        <v>1125</v>
      </c>
      <c r="D13" s="44" t="s">
        <v>84</v>
      </c>
    </row>
    <row r="14" spans="1:6" x14ac:dyDescent="0.25">
      <c r="A14" s="48" t="s">
        <v>8</v>
      </c>
      <c r="B14" s="49">
        <f>SUM(B9:B13)</f>
        <v>2104.06</v>
      </c>
      <c r="C14" s="50">
        <f>SUM(C9:C13)</f>
        <v>2525</v>
      </c>
      <c r="D14" s="17"/>
      <c r="E14" s="1"/>
    </row>
    <row r="15" spans="1:6" x14ac:dyDescent="0.25">
      <c r="A15" s="33" t="s">
        <v>61</v>
      </c>
      <c r="B15" s="51"/>
      <c r="C15" s="43"/>
      <c r="D15" s="42"/>
    </row>
    <row r="16" spans="1:6" x14ac:dyDescent="0.25">
      <c r="A16" t="s">
        <v>62</v>
      </c>
      <c r="B16" s="51">
        <f>120+444.3</f>
        <v>564.29999999999995</v>
      </c>
      <c r="C16" s="43">
        <v>175</v>
      </c>
      <c r="D16" s="42" t="s">
        <v>97</v>
      </c>
    </row>
    <row r="17" spans="1:6" x14ac:dyDescent="0.25">
      <c r="A17" t="s">
        <v>63</v>
      </c>
      <c r="B17" s="51">
        <v>0</v>
      </c>
      <c r="C17" s="43"/>
      <c r="D17" s="42"/>
    </row>
    <row r="18" spans="1:6" x14ac:dyDescent="0.25">
      <c r="A18" t="s">
        <v>64</v>
      </c>
      <c r="B18" s="51">
        <v>390.83</v>
      </c>
      <c r="C18" s="43">
        <f>(80+120)*14</f>
        <v>2800</v>
      </c>
      <c r="D18" s="42" t="s">
        <v>142</v>
      </c>
    </row>
    <row r="19" spans="1:6" x14ac:dyDescent="0.25">
      <c r="A19" s="45" t="s">
        <v>65</v>
      </c>
      <c r="B19" s="52">
        <v>123.93</v>
      </c>
      <c r="C19" s="47">
        <v>100</v>
      </c>
      <c r="D19" s="42" t="s">
        <v>70</v>
      </c>
    </row>
    <row r="20" spans="1:6" x14ac:dyDescent="0.25">
      <c r="A20" s="53" t="s">
        <v>8</v>
      </c>
      <c r="B20" s="49">
        <f>SUM(B16:B19)</f>
        <v>1079.06</v>
      </c>
      <c r="C20" s="50">
        <f>SUM(C16:C19)</f>
        <v>3075</v>
      </c>
      <c r="D20" s="17"/>
      <c r="E20" s="1"/>
    </row>
    <row r="21" spans="1:6" x14ac:dyDescent="0.25">
      <c r="A21" s="33" t="s">
        <v>30</v>
      </c>
      <c r="B21" s="51"/>
      <c r="C21" s="50"/>
      <c r="D21" s="42"/>
    </row>
    <row r="22" spans="1:6" x14ac:dyDescent="0.25">
      <c r="A22" s="54" t="s">
        <v>139</v>
      </c>
      <c r="B22" s="52">
        <f>474+268+803.19</f>
        <v>1545.19</v>
      </c>
      <c r="C22" s="47">
        <v>1600</v>
      </c>
      <c r="D22" s="42"/>
      <c r="F22" s="55"/>
    </row>
    <row r="23" spans="1:6" x14ac:dyDescent="0.25">
      <c r="A23" s="53" t="s">
        <v>8</v>
      </c>
      <c r="B23" s="49">
        <f>SUM(B22:B22)</f>
        <v>1545.19</v>
      </c>
      <c r="C23" s="56">
        <f>SUM(C22:C22)</f>
        <v>1600</v>
      </c>
      <c r="D23" s="17"/>
      <c r="E23" s="1"/>
    </row>
    <row r="24" spans="1:6" x14ac:dyDescent="0.25">
      <c r="A24" s="33" t="s">
        <v>66</v>
      </c>
      <c r="B24" s="51"/>
      <c r="C24" s="43"/>
      <c r="D24" s="42"/>
    </row>
    <row r="25" spans="1:6" x14ac:dyDescent="0.25">
      <c r="A25" s="63" t="s">
        <v>98</v>
      </c>
      <c r="B25" s="51"/>
      <c r="C25" s="43">
        <v>75</v>
      </c>
      <c r="D25" s="42"/>
    </row>
    <row r="26" spans="1:6" x14ac:dyDescent="0.25">
      <c r="A26" t="s">
        <v>67</v>
      </c>
      <c r="B26" s="51">
        <v>62.66</v>
      </c>
      <c r="C26" s="43">
        <v>0</v>
      </c>
      <c r="D26" s="44"/>
    </row>
    <row r="27" spans="1:6" x14ac:dyDescent="0.25">
      <c r="A27" t="s">
        <v>83</v>
      </c>
      <c r="B27" s="51">
        <v>2000</v>
      </c>
      <c r="C27" s="43">
        <v>0</v>
      </c>
      <c r="D27" s="44" t="s">
        <v>86</v>
      </c>
    </row>
    <row r="28" spans="1:6" x14ac:dyDescent="0.25">
      <c r="A28" t="s">
        <v>82</v>
      </c>
      <c r="B28" s="51">
        <v>100</v>
      </c>
      <c r="C28" s="43">
        <v>100</v>
      </c>
      <c r="D28" s="44"/>
    </row>
    <row r="29" spans="1:6" x14ac:dyDescent="0.25">
      <c r="A29" t="s">
        <v>66</v>
      </c>
      <c r="B29" s="51">
        <f>50+52.5+75.71</f>
        <v>178.20999999999998</v>
      </c>
      <c r="C29" s="43">
        <v>0</v>
      </c>
      <c r="D29" s="44" t="s">
        <v>85</v>
      </c>
    </row>
    <row r="30" spans="1:6" x14ac:dyDescent="0.25">
      <c r="A30" t="s">
        <v>71</v>
      </c>
      <c r="B30" s="51">
        <v>1000</v>
      </c>
      <c r="C30" s="43">
        <v>0</v>
      </c>
      <c r="D30" s="44" t="s">
        <v>72</v>
      </c>
    </row>
    <row r="31" spans="1:6" s="39" customFormat="1" x14ac:dyDescent="0.25">
      <c r="A31" s="39" t="s">
        <v>68</v>
      </c>
      <c r="B31" s="51">
        <v>321.39999999999998</v>
      </c>
      <c r="C31" s="41">
        <v>0</v>
      </c>
      <c r="D31" s="42" t="s">
        <v>107</v>
      </c>
    </row>
    <row r="32" spans="1:6" x14ac:dyDescent="0.25">
      <c r="A32" s="45" t="s">
        <v>69</v>
      </c>
      <c r="B32" s="52">
        <f>21.42</f>
        <v>21.42</v>
      </c>
      <c r="C32" s="47">
        <v>25</v>
      </c>
      <c r="D32" s="44"/>
    </row>
    <row r="33" spans="1:5" x14ac:dyDescent="0.25">
      <c r="B33" s="49">
        <f>SUM(B25:B32)</f>
        <v>3683.69</v>
      </c>
      <c r="C33" s="50">
        <f>SUM(C25:C32)</f>
        <v>200</v>
      </c>
      <c r="D33" s="17"/>
      <c r="E33" s="1"/>
    </row>
    <row r="34" spans="1:5" x14ac:dyDescent="0.25">
      <c r="B34" s="51"/>
      <c r="C34" s="43"/>
    </row>
    <row r="35" spans="1:5" x14ac:dyDescent="0.25">
      <c r="A35" s="48" t="s">
        <v>41</v>
      </c>
      <c r="B35" s="57">
        <f>B14+B20+B23+B33</f>
        <v>8412</v>
      </c>
      <c r="C35" s="58">
        <f>C33+C23+C20+C14</f>
        <v>7400</v>
      </c>
      <c r="D35" s="17"/>
      <c r="E35" s="1"/>
    </row>
    <row r="36" spans="1:5" x14ac:dyDescent="0.25">
      <c r="B36" s="59"/>
      <c r="C36" s="60"/>
      <c r="D36" s="59"/>
    </row>
    <row r="37" spans="1:5" x14ac:dyDescent="0.25">
      <c r="A37" t="s">
        <v>81</v>
      </c>
      <c r="D37" s="55"/>
    </row>
    <row r="38" spans="1:5" x14ac:dyDescent="0.25">
      <c r="A38" t="s">
        <v>76</v>
      </c>
    </row>
    <row r="39" spans="1:5" x14ac:dyDescent="0.25">
      <c r="A39" t="s">
        <v>77</v>
      </c>
    </row>
    <row r="40" spans="1:5" x14ac:dyDescent="0.25">
      <c r="A40" t="s">
        <v>78</v>
      </c>
    </row>
    <row r="41" spans="1:5" x14ac:dyDescent="0.25">
      <c r="A41" t="s">
        <v>79</v>
      </c>
    </row>
    <row r="42" spans="1:5" x14ac:dyDescent="0.25">
      <c r="A42" t="s">
        <v>80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25101</vt:lpstr>
      <vt:lpstr>25102</vt:lpstr>
      <vt:lpstr>Sheet3</vt:lpstr>
      <vt:lpstr>'25101'!Print_Titles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2014-05-22T19:19:33Z</cp:lastPrinted>
  <dcterms:created xsi:type="dcterms:W3CDTF">2014-05-19T16:34:57Z</dcterms:created>
  <dcterms:modified xsi:type="dcterms:W3CDTF">2015-01-16T19:00:12Z</dcterms:modified>
</cp:coreProperties>
</file>