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550" yWindow="930" windowWidth="12780" windowHeight="11370"/>
  </bookViews>
  <sheets>
    <sheet name="25101" sheetId="1" r:id="rId1"/>
    <sheet name="25102" sheetId="2" r:id="rId2"/>
  </sheets>
  <calcPr calcId="145621"/>
</workbook>
</file>

<file path=xl/calcChain.xml><?xml version="1.0" encoding="utf-8"?>
<calcChain xmlns="http://schemas.openxmlformats.org/spreadsheetml/2006/main">
  <c r="C50" i="1" l="1"/>
  <c r="C38" i="1"/>
  <c r="C13" i="1"/>
  <c r="C11" i="1"/>
  <c r="P7" i="1" l="1"/>
  <c r="C7" i="1"/>
  <c r="C4" i="1"/>
  <c r="F51" i="1" l="1"/>
  <c r="B14" i="2" l="1"/>
  <c r="C20" i="1"/>
  <c r="C40" i="1" s="1"/>
  <c r="C18" i="1" l="1"/>
  <c r="P6" i="1" l="1"/>
  <c r="B25" i="2" l="1"/>
  <c r="C76" i="1"/>
  <c r="C28" i="1"/>
  <c r="C8" i="1" l="1"/>
  <c r="A2" i="2" l="1"/>
  <c r="B10" i="1"/>
  <c r="B16" i="2"/>
  <c r="B22" i="2"/>
  <c r="B3" i="2"/>
  <c r="C57" i="1" l="1"/>
  <c r="C58" i="1"/>
  <c r="C62" i="1"/>
  <c r="C63" i="1"/>
  <c r="C59" i="1"/>
  <c r="C22" i="1"/>
  <c r="B27" i="2"/>
  <c r="B12" i="2"/>
  <c r="I75" i="1"/>
  <c r="C71" i="1"/>
  <c r="C67" i="1"/>
  <c r="B15" i="2"/>
  <c r="C25" i="1"/>
  <c r="C70" i="1"/>
  <c r="C12" i="1"/>
  <c r="C5" i="1"/>
  <c r="B34" i="2" l="1"/>
  <c r="H76" i="1"/>
  <c r="H77" i="1" s="1"/>
  <c r="B3" i="1" l="1"/>
  <c r="P8" i="1" l="1"/>
  <c r="P10" i="1" s="1"/>
  <c r="O50" i="1" s="1"/>
</calcChain>
</file>

<file path=xl/sharedStrings.xml><?xml version="1.0" encoding="utf-8"?>
<sst xmlns="http://schemas.openxmlformats.org/spreadsheetml/2006/main" count="181" uniqueCount="176">
  <si>
    <t>Account Title</t>
  </si>
  <si>
    <t>Year to Date</t>
  </si>
  <si>
    <t>Office Supplies</t>
  </si>
  <si>
    <t>Postage</t>
  </si>
  <si>
    <t>Telephone-SCAN</t>
  </si>
  <si>
    <t>Travel</t>
  </si>
  <si>
    <t>TOTAL</t>
  </si>
  <si>
    <t>STUDENT STAFF</t>
  </si>
  <si>
    <t>STAFF REMAINING</t>
  </si>
  <si>
    <t>UPCOMING</t>
  </si>
  <si>
    <t>ACTUAL AMOUNT</t>
  </si>
  <si>
    <t>remainder</t>
  </si>
  <si>
    <t>Telephone-Cell Phone Usage</t>
  </si>
  <si>
    <t xml:space="preserve">Advertising </t>
  </si>
  <si>
    <t>visitor food</t>
  </si>
  <si>
    <t>1 day trips, MES pays; &gt;1 day student fee</t>
  </si>
  <si>
    <t>&gt;1 day, MES pays for faculty housing</t>
  </si>
  <si>
    <t>student fees have to posted 2 weeks before registration</t>
  </si>
  <si>
    <t>gail will enter the fees, tina checks for mistakes, David approves odd ones</t>
  </si>
  <si>
    <t>overestimate budget so that students get $$ back</t>
  </si>
  <si>
    <t>TOTAL REMAINDER</t>
  </si>
  <si>
    <t>NCSE membership</t>
  </si>
  <si>
    <t>Budget</t>
  </si>
  <si>
    <t>Student Salaries</t>
  </si>
  <si>
    <t>Leftover from TIAA-CREF</t>
  </si>
  <si>
    <t>Total for student salaries</t>
  </si>
  <si>
    <t>NAGAP membership (paid on FY13)</t>
  </si>
  <si>
    <t>Houston Idealist fair</t>
  </si>
  <si>
    <t>UCSC fair</t>
  </si>
  <si>
    <t>orientation</t>
  </si>
  <si>
    <t>and $8/school pay period for Jen and add a bit more for others</t>
  </si>
  <si>
    <t>(ask Scott for exact benefits percentage)</t>
  </si>
  <si>
    <t>parking for prospective students</t>
  </si>
  <si>
    <t>3 more quarters of gradschools.com</t>
  </si>
  <si>
    <t>phone</t>
  </si>
  <si>
    <t>cell</t>
  </si>
  <si>
    <t>surveymonkey</t>
  </si>
  <si>
    <t xml:space="preserve"> postage</t>
  </si>
  <si>
    <t>REMAINDER</t>
  </si>
  <si>
    <t>Houston per diem</t>
  </si>
  <si>
    <t>UC Davis fair</t>
  </si>
  <si>
    <t>UC Davis/NoCal diversity fair transport</t>
  </si>
  <si>
    <t>UC Davis/NoCal diversity fair per diem</t>
  </si>
  <si>
    <t>SF Idealist fair - already paid</t>
  </si>
  <si>
    <t>SF Idealist transport</t>
  </si>
  <si>
    <t>SF Idealist per diem</t>
  </si>
  <si>
    <t>SMU fairs (STEM &amp; public good)</t>
  </si>
  <si>
    <t>13-14 vans, $82/day, .25/mi after 250 mi (for entire trip).</t>
  </si>
  <si>
    <t>new table banner</t>
  </si>
  <si>
    <t>printing for large posters for tri-fold standup</t>
  </si>
  <si>
    <t>supplies</t>
  </si>
  <si>
    <t>Ambassador Salaries (entire year)</t>
  </si>
  <si>
    <t>$900 each, one is w/s (we pay 25%)</t>
  </si>
  <si>
    <t>newsletter (not printing this year)</t>
  </si>
  <si>
    <t>diversity fairs registration</t>
  </si>
  <si>
    <t>Minneapolis Idealist</t>
  </si>
  <si>
    <t>NY fairs registrations</t>
  </si>
  <si>
    <t>Idealist alumni tablers</t>
  </si>
  <si>
    <t>food only</t>
  </si>
  <si>
    <t>faculty orientation food</t>
  </si>
  <si>
    <t>Tacoma info session travel</t>
  </si>
  <si>
    <t>NY fairs flight</t>
  </si>
  <si>
    <t>Bay area flight</t>
  </si>
  <si>
    <t>NorCal diversity fair flight</t>
  </si>
  <si>
    <t>Jen Runyan</t>
  </si>
  <si>
    <t>NY fairs car</t>
  </si>
  <si>
    <t>NY fairs other</t>
  </si>
  <si>
    <t>Bay area car</t>
  </si>
  <si>
    <t>Bay area other (UCSC trip)</t>
  </si>
  <si>
    <t>HSU/SOU/OIT other</t>
  </si>
  <si>
    <t>Portland/Seattle idealist other</t>
  </si>
  <si>
    <t>HSU/SOU/OIT motor pool</t>
  </si>
  <si>
    <t>Portland/Seattle Idealist motor pool</t>
  </si>
  <si>
    <t>Houston flight + shuttle</t>
  </si>
  <si>
    <t>Earth Corps Info Session motor pool</t>
  </si>
  <si>
    <t>focus group pizza</t>
  </si>
  <si>
    <t>Carri winter field trip (2 vans)</t>
  </si>
  <si>
    <t>EE field trip (2 vans)</t>
  </si>
  <si>
    <t>ESS possible room rental</t>
  </si>
  <si>
    <t>per diem + hotel for DC (hotel = 663)</t>
  </si>
  <si>
    <t>NorCal diversity fair per diem</t>
  </si>
  <si>
    <t>for recruitment research</t>
  </si>
  <si>
    <t>NorCal diversity fair car</t>
  </si>
  <si>
    <t>business cards - Gail</t>
  </si>
  <si>
    <t>posters</t>
  </si>
  <si>
    <t>ordered twice</t>
  </si>
  <si>
    <t>brochures</t>
  </si>
  <si>
    <t>had to order again in Jan - quoted $1534.68, got $1550 from Walter to cover</t>
  </si>
  <si>
    <t>copies</t>
  </si>
  <si>
    <t>E2E south seattle car reimbursement</t>
  </si>
  <si>
    <t>WAHESC conference (hotel &amp; per diem)</t>
  </si>
  <si>
    <t>took van with Scott</t>
  </si>
  <si>
    <t>Idealware course</t>
  </si>
  <si>
    <t>E2E conference reg</t>
  </si>
  <si>
    <t>Portland Ecology + Salish Sea conference travel</t>
  </si>
  <si>
    <t>Tacoma sust fair transport - Drissia light rail - gave her meal voucher instead</t>
  </si>
  <si>
    <t>gcore field trip Pack Forest reservation</t>
  </si>
  <si>
    <t>staff photog</t>
  </si>
  <si>
    <t>Drissia to pdx conference</t>
  </si>
  <si>
    <t>Erin Martin reimburse for travel in previous fiscal year</t>
  </si>
  <si>
    <t>DC other</t>
  </si>
  <si>
    <t>travel to confor (420.30 + 24)</t>
  </si>
  <si>
    <t>plane to DC</t>
  </si>
  <si>
    <t>gcore field trip van</t>
  </si>
  <si>
    <t>ESS field trips (2 1-day field trips) - 2 vans trip 1, 2 vans trip 2</t>
  </si>
  <si>
    <t>Goods and Services (incl 3500+503+1550+2125)</t>
  </si>
  <si>
    <t>&lt;--includes 1012 carry forward</t>
  </si>
  <si>
    <t>3000 for NCSE, $500 admit day, $1550 brochures, $2125 NC/KY trip, $503 cf</t>
  </si>
  <si>
    <t>hiring summer student to plan reunion</t>
  </si>
  <si>
    <t>Kathleen/Shangrila for admit day</t>
  </si>
  <si>
    <t>thesis food for presentations</t>
  </si>
  <si>
    <t>stats tutor - Krystle Keese (used $1000 out of work-study); 12 hours/week at $14/hour (last 5 weeks did 14 hours/week to work with thesis students)</t>
  </si>
  <si>
    <t>Ted's spring speakers (will have 3-4 guests at $125 ea) - Doug Scott - $125; Beth Doglio - $125; Hank Adams for $75</t>
  </si>
  <si>
    <t>surveymonkey (paid on 25102)</t>
  </si>
  <si>
    <t>postcards</t>
  </si>
  <si>
    <t>AmeriCorps Alums advert (each program pays $700 and marketing does $2100 for total of $3500)</t>
  </si>
  <si>
    <t>hot water thing (we can't buy this)</t>
  </si>
  <si>
    <t>admit day housing</t>
  </si>
  <si>
    <t>admit day facilities</t>
  </si>
  <si>
    <t>incl lamination</t>
  </si>
  <si>
    <t>big envelopes</t>
  </si>
  <si>
    <t>NCUR reg</t>
  </si>
  <si>
    <t>admit day catering</t>
  </si>
  <si>
    <t>coffee = 200.41; food = $663.21;</t>
  </si>
  <si>
    <t>admit day parking</t>
  </si>
  <si>
    <t>admit day faculty lunch</t>
  </si>
  <si>
    <t xml:space="preserve">shoulda been:  $2/person/day or $68; $4 parking faculty, $10 parking </t>
  </si>
  <si>
    <t>new fac mtg at greenery (est)</t>
  </si>
  <si>
    <t>Jen drove to airport/back</t>
  </si>
  <si>
    <t>NCUR transport to SEATAC</t>
  </si>
  <si>
    <t>cap aeroporter</t>
  </si>
  <si>
    <t>SoCal diversity forum per diem</t>
  </si>
  <si>
    <t>Jen stayed w/parents</t>
  </si>
  <si>
    <t>NCUR per diem/hotel</t>
  </si>
  <si>
    <t>SoCal diversity forum flight</t>
  </si>
  <si>
    <t>NCUR flight</t>
  </si>
  <si>
    <t>NCUR rental car</t>
  </si>
  <si>
    <t>SoCal diversity forum transport to SEATAC/parking</t>
  </si>
  <si>
    <t>NCUR gas/parking</t>
  </si>
  <si>
    <t>photo frames</t>
  </si>
  <si>
    <t>Energy speaker - Beth Doglio</t>
  </si>
  <si>
    <t>disaster management speaker - Jennifer Lord</t>
  </si>
  <si>
    <t>Jana, Jen &amp;  Rudi only through 5/31/14</t>
  </si>
  <si>
    <t>Freshwater Ecology speaker - Valerie Oster Thompson - paperwork not complete?</t>
  </si>
  <si>
    <t>summer EE van - July 12, 2015 - so put on FY15</t>
  </si>
  <si>
    <t>climate change speaker - Yoram Bauman - Paul never finalized; will work on it (6/3/14)</t>
  </si>
  <si>
    <t>not charged yet/estimates</t>
  </si>
  <si>
    <t>NAGAP membership for FY15</t>
  </si>
  <si>
    <t>(6/16 - 6/30/2014); 2  pay periods</t>
  </si>
  <si>
    <t>Rudi, 12 hrs/$11</t>
  </si>
  <si>
    <t>AASHE reg (Fall 2014)</t>
  </si>
  <si>
    <t>updated 6/17/14</t>
  </si>
  <si>
    <t>powerpoint clicker - ask to move to 25101 if we end up paying speakers</t>
  </si>
  <si>
    <t>powerpoint clicker (charged to 25102, move to 25101 if guest speakers get paid out of FY14)</t>
  </si>
  <si>
    <t>gradschools.com ($1280 2013-14, $140 for 14-15 ($1300 taken out of 25102)</t>
  </si>
  <si>
    <t>visitor parking</t>
  </si>
  <si>
    <t>through 6/17/14</t>
  </si>
  <si>
    <t>graduation EM</t>
  </si>
  <si>
    <t>includes shirts for gail/ambassadors, through 5/28</t>
  </si>
  <si>
    <t>graduation insert copies</t>
  </si>
  <si>
    <t>of thesis titles</t>
  </si>
  <si>
    <t>graduation (food =892.23, printing = $179.36 , EM~100, copies for inserts $28)</t>
  </si>
  <si>
    <t>graduation decorations</t>
  </si>
  <si>
    <t>martha bought native plants</t>
  </si>
  <si>
    <t>graduation programs</t>
  </si>
  <si>
    <t>graduation catering</t>
  </si>
  <si>
    <t>gradschools.com for 14-15</t>
  </si>
  <si>
    <t>speaker parking</t>
  </si>
  <si>
    <t>Rudi benefits</t>
  </si>
  <si>
    <t>L&amp;I @ $0.1768/hr, FICA @ 7.65% - summer if no credit or less than 4 credits</t>
  </si>
  <si>
    <t>updated 7/31/14</t>
  </si>
  <si>
    <t xml:space="preserve"> includes shipping boxes for idealist</t>
  </si>
  <si>
    <t>mischarged, told no charge this year, but did anyway and will be next year for garbage cans</t>
  </si>
  <si>
    <t>postcards/bookmarks</t>
  </si>
  <si>
    <t xml:space="preserve">NAGAP </t>
  </si>
  <si>
    <t>for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</si>
</sst>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8" borderId="0" applyNumberFormat="0" applyBorder="0" applyAlignment="0" applyProtection="0"/>
    <xf numFmtId="0" fontId="6" fillId="29" borderId="2" applyNumberFormat="0" applyAlignment="0" applyProtection="0"/>
    <xf numFmtId="0" fontId="7" fillId="30" borderId="3" applyNumberFormat="0" applyAlignment="0" applyProtection="0"/>
    <xf numFmtId="0" fontId="8" fillId="0" borderId="0" applyNumberFormat="0" applyFill="0" applyBorder="0" applyAlignment="0" applyProtection="0"/>
    <xf numFmtId="0" fontId="9" fillId="31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2" borderId="2" applyNumberFormat="0" applyAlignment="0" applyProtection="0"/>
    <xf numFmtId="0" fontId="14" fillId="0" borderId="7" applyNumberFormat="0" applyFill="0" applyAlignment="0" applyProtection="0"/>
    <xf numFmtId="0" fontId="15" fillId="33" borderId="0" applyNumberFormat="0" applyBorder="0" applyAlignment="0" applyProtection="0"/>
    <xf numFmtId="0" fontId="1" fillId="34" borderId="8" applyNumberFormat="0" applyFont="0" applyAlignment="0" applyProtection="0"/>
    <xf numFmtId="0" fontId="16" fillId="29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35" borderId="0" xfId="0" applyFill="1"/>
    <xf numFmtId="0" fontId="20" fillId="0" borderId="0" xfId="0" applyFont="1"/>
    <xf numFmtId="0" fontId="0" fillId="0" borderId="1" xfId="0" applyFill="1" applyBorder="1"/>
    <xf numFmtId="0" fontId="0" fillId="37" borderId="0" xfId="0" applyFill="1"/>
    <xf numFmtId="0" fontId="0" fillId="37" borderId="1" xfId="0" applyFill="1" applyBorder="1"/>
    <xf numFmtId="2" fontId="0" fillId="0" borderId="0" xfId="0" applyNumberFormat="1"/>
    <xf numFmtId="2" fontId="0" fillId="35" borderId="0" xfId="0" applyNumberFormat="1" applyFill="1"/>
    <xf numFmtId="2" fontId="0" fillId="36" borderId="0" xfId="0" applyNumberFormat="1" applyFill="1"/>
    <xf numFmtId="0" fontId="19" fillId="0" borderId="0" xfId="0" applyFont="1"/>
    <xf numFmtId="2" fontId="0" fillId="3" borderId="0" xfId="0" applyNumberFormat="1" applyFill="1"/>
    <xf numFmtId="9" fontId="0" fillId="0" borderId="0" xfId="42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42" builtinId="5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tabSelected="1" topLeftCell="A31" zoomScale="85" zoomScaleNormal="85" workbookViewId="0">
      <selection activeCell="A59" sqref="A59:C60"/>
    </sheetView>
  </sheetViews>
  <sheetFormatPr defaultRowHeight="15" x14ac:dyDescent="0.25"/>
  <cols>
    <col min="1" max="1" width="46.42578125" customWidth="1"/>
    <col min="2" max="2" width="17.85546875" bestFit="1" customWidth="1"/>
    <col min="3" max="3" width="11.7109375" bestFit="1" customWidth="1"/>
    <col min="4" max="4" width="21.140625" customWidth="1"/>
  </cols>
  <sheetData>
    <row r="1" spans="1:17" x14ac:dyDescent="0.25">
      <c r="A1" t="s">
        <v>170</v>
      </c>
      <c r="H1" t="s">
        <v>9</v>
      </c>
    </row>
    <row r="2" spans="1:17" x14ac:dyDescent="0.25">
      <c r="A2" t="s">
        <v>0</v>
      </c>
      <c r="B2" t="s">
        <v>22</v>
      </c>
      <c r="C2" t="s">
        <v>1</v>
      </c>
      <c r="H2" s="3" t="s">
        <v>10</v>
      </c>
      <c r="I2" s="3"/>
      <c r="P2" t="s">
        <v>7</v>
      </c>
    </row>
    <row r="3" spans="1:17" x14ac:dyDescent="0.25">
      <c r="A3" s="7" t="s">
        <v>25</v>
      </c>
      <c r="B3" s="7">
        <f>SUM(B4:B7)</f>
        <v>11227</v>
      </c>
      <c r="H3" s="3"/>
      <c r="I3" s="3"/>
      <c r="P3" t="s">
        <v>148</v>
      </c>
    </row>
    <row r="4" spans="1:17" x14ac:dyDescent="0.25">
      <c r="A4" t="s">
        <v>23</v>
      </c>
      <c r="B4">
        <v>9770</v>
      </c>
      <c r="C4" s="11">
        <f>6633.2-132</f>
        <v>6501.2</v>
      </c>
      <c r="D4" t="s">
        <v>142</v>
      </c>
      <c r="H4" s="4"/>
    </row>
    <row r="5" spans="1:17" x14ac:dyDescent="0.25">
      <c r="A5" t="s">
        <v>51</v>
      </c>
      <c r="C5">
        <f>1800+(0.25*900)</f>
        <v>2025</v>
      </c>
      <c r="D5" t="s">
        <v>52</v>
      </c>
      <c r="H5" s="4"/>
    </row>
    <row r="6" spans="1:17" x14ac:dyDescent="0.25">
      <c r="A6" t="s">
        <v>24</v>
      </c>
      <c r="B6">
        <v>1262</v>
      </c>
      <c r="D6" t="s">
        <v>31</v>
      </c>
      <c r="P6">
        <f>12*11</f>
        <v>132</v>
      </c>
      <c r="Q6" t="s">
        <v>149</v>
      </c>
    </row>
    <row r="7" spans="1:17" x14ac:dyDescent="0.25">
      <c r="A7" t="s">
        <v>169</v>
      </c>
      <c r="B7">
        <v>195</v>
      </c>
      <c r="C7">
        <f>201.8+102.63</f>
        <v>304.43</v>
      </c>
      <c r="H7" s="4"/>
      <c r="P7" s="1">
        <f>P6*0.0765</f>
        <v>10.097999999999999</v>
      </c>
      <c r="Q7" s="1" t="s">
        <v>168</v>
      </c>
    </row>
    <row r="8" spans="1:17" x14ac:dyDescent="0.25">
      <c r="C8" s="12">
        <f>B3-SUM(C4:C7)</f>
        <v>2396.369999999999</v>
      </c>
      <c r="D8" t="s">
        <v>30</v>
      </c>
      <c r="H8" s="4"/>
      <c r="P8">
        <f>SUM(P4:P7)</f>
        <v>142.09800000000001</v>
      </c>
      <c r="Q8" s="2" t="s">
        <v>6</v>
      </c>
    </row>
    <row r="10" spans="1:17" x14ac:dyDescent="0.25">
      <c r="A10" t="s">
        <v>105</v>
      </c>
      <c r="B10">
        <f>7960+3500+1550+2125+503</f>
        <v>15638</v>
      </c>
      <c r="C10">
        <v>0</v>
      </c>
      <c r="D10" t="s">
        <v>107</v>
      </c>
      <c r="I10" s="4"/>
      <c r="P10" s="13">
        <f>C8-P8</f>
        <v>2254.271999999999</v>
      </c>
      <c r="Q10" t="s">
        <v>8</v>
      </c>
    </row>
    <row r="11" spans="1:17" x14ac:dyDescent="0.25">
      <c r="A11" t="s">
        <v>2</v>
      </c>
      <c r="C11">
        <f>26.63+3.47+65.18+44.25+6.94+13.33+2.08+2.08+35.45+30.1+39.1</f>
        <v>268.61</v>
      </c>
      <c r="D11" t="s">
        <v>158</v>
      </c>
      <c r="I11" s="4">
        <v>495</v>
      </c>
      <c r="J11" s="4" t="s">
        <v>27</v>
      </c>
    </row>
    <row r="12" spans="1:17" x14ac:dyDescent="0.25">
      <c r="A12" t="s">
        <v>48</v>
      </c>
      <c r="C12">
        <f>157.49+13.7</f>
        <v>171.19</v>
      </c>
      <c r="H12" s="4"/>
      <c r="I12" s="4">
        <v>400</v>
      </c>
      <c r="J12" s="4" t="s">
        <v>73</v>
      </c>
    </row>
    <row r="13" spans="1:17" x14ac:dyDescent="0.25">
      <c r="A13" t="s">
        <v>3</v>
      </c>
      <c r="C13">
        <f>370.66+346.59+54.76+8.5</f>
        <v>780.51</v>
      </c>
      <c r="D13" t="s">
        <v>171</v>
      </c>
      <c r="H13" s="4"/>
      <c r="I13" s="4">
        <v>200</v>
      </c>
      <c r="J13" s="4" t="s">
        <v>39</v>
      </c>
    </row>
    <row r="14" spans="1:17" x14ac:dyDescent="0.25">
      <c r="A14" t="s">
        <v>4</v>
      </c>
      <c r="C14">
        <v>492.67</v>
      </c>
      <c r="H14" s="4"/>
      <c r="I14" s="4">
        <v>275</v>
      </c>
      <c r="J14" s="4" t="s">
        <v>40</v>
      </c>
      <c r="P14" s="16"/>
    </row>
    <row r="15" spans="1:17" x14ac:dyDescent="0.25">
      <c r="A15" t="s">
        <v>12</v>
      </c>
      <c r="C15">
        <v>210.57</v>
      </c>
      <c r="H15" s="4"/>
      <c r="I15" s="4">
        <v>350</v>
      </c>
      <c r="J15" s="4" t="s">
        <v>41</v>
      </c>
    </row>
    <row r="16" spans="1:17" x14ac:dyDescent="0.25">
      <c r="A16" t="s">
        <v>13</v>
      </c>
      <c r="C16">
        <v>1400</v>
      </c>
      <c r="D16" t="s">
        <v>154</v>
      </c>
      <c r="I16" s="4">
        <v>400</v>
      </c>
      <c r="J16" s="4" t="s">
        <v>42</v>
      </c>
    </row>
    <row r="17" spans="1:9" x14ac:dyDescent="0.25">
      <c r="A17" s="4" t="s">
        <v>49</v>
      </c>
      <c r="C17">
        <v>44.22</v>
      </c>
    </row>
    <row r="18" spans="1:9" x14ac:dyDescent="0.25">
      <c r="A18" t="s">
        <v>88</v>
      </c>
      <c r="C18">
        <f>21.65+12+2.7</f>
        <v>36.35</v>
      </c>
      <c r="D18" t="s">
        <v>119</v>
      </c>
      <c r="H18">
        <v>0</v>
      </c>
      <c r="I18" t="s">
        <v>26</v>
      </c>
    </row>
    <row r="19" spans="1:9" x14ac:dyDescent="0.25">
      <c r="A19" t="s">
        <v>86</v>
      </c>
      <c r="C19">
        <v>1695.37</v>
      </c>
      <c r="D19" t="s">
        <v>87</v>
      </c>
    </row>
    <row r="20" spans="1:9" x14ac:dyDescent="0.25">
      <c r="A20" t="s">
        <v>83</v>
      </c>
      <c r="C20">
        <f>160+80</f>
        <v>240</v>
      </c>
    </row>
    <row r="21" spans="1:9" x14ac:dyDescent="0.25">
      <c r="A21" t="s">
        <v>174</v>
      </c>
      <c r="C21">
        <v>225</v>
      </c>
      <c r="D21" t="s">
        <v>175</v>
      </c>
    </row>
    <row r="22" spans="1:9" x14ac:dyDescent="0.25">
      <c r="A22" t="s">
        <v>84</v>
      </c>
      <c r="C22">
        <f>83.8+93.22</f>
        <v>177.01999999999998</v>
      </c>
      <c r="D22" t="s">
        <v>85</v>
      </c>
    </row>
    <row r="23" spans="1:9" x14ac:dyDescent="0.25">
      <c r="A23" t="s">
        <v>75</v>
      </c>
      <c r="C23">
        <v>51.57</v>
      </c>
      <c r="D23" t="s">
        <v>81</v>
      </c>
    </row>
    <row r="24" spans="1:9" x14ac:dyDescent="0.25">
      <c r="A24" t="s">
        <v>21</v>
      </c>
      <c r="C24">
        <v>2800</v>
      </c>
      <c r="H24" s="4"/>
      <c r="I24" s="4"/>
    </row>
    <row r="25" spans="1:9" x14ac:dyDescent="0.25">
      <c r="A25" t="s">
        <v>29</v>
      </c>
      <c r="C25">
        <f>73.4+282.89+232.06</f>
        <v>588.34999999999991</v>
      </c>
      <c r="D25" t="s">
        <v>58</v>
      </c>
      <c r="H25" s="4"/>
      <c r="I25" s="4"/>
    </row>
    <row r="26" spans="1:9" x14ac:dyDescent="0.25">
      <c r="A26" t="s">
        <v>117</v>
      </c>
      <c r="C26">
        <v>150</v>
      </c>
      <c r="H26" s="4"/>
      <c r="I26" s="4"/>
    </row>
    <row r="27" spans="1:9" x14ac:dyDescent="0.25">
      <c r="A27" t="s">
        <v>118</v>
      </c>
      <c r="C27" s="14">
        <v>21.5</v>
      </c>
      <c r="D27" s="14" t="s">
        <v>172</v>
      </c>
      <c r="E27" s="14"/>
      <c r="F27" s="14"/>
      <c r="G27" s="14"/>
      <c r="H27" s="4"/>
      <c r="I27" s="4"/>
    </row>
    <row r="28" spans="1:9" x14ac:dyDescent="0.25">
      <c r="A28" t="s">
        <v>122</v>
      </c>
      <c r="C28">
        <f>200.41+663.21</f>
        <v>863.62</v>
      </c>
      <c r="D28" t="s">
        <v>123</v>
      </c>
      <c r="H28" s="4"/>
      <c r="I28" s="4"/>
    </row>
    <row r="29" spans="1:9" x14ac:dyDescent="0.25">
      <c r="A29" t="s">
        <v>124</v>
      </c>
      <c r="C29">
        <v>60</v>
      </c>
      <c r="D29" t="s">
        <v>126</v>
      </c>
      <c r="H29" s="4"/>
      <c r="I29" s="4"/>
    </row>
    <row r="30" spans="1:9" x14ac:dyDescent="0.25">
      <c r="A30" t="s">
        <v>157</v>
      </c>
      <c r="C30">
        <v>90</v>
      </c>
      <c r="H30" s="4"/>
      <c r="I30" s="4"/>
    </row>
    <row r="31" spans="1:9" x14ac:dyDescent="0.25">
      <c r="A31" t="s">
        <v>159</v>
      </c>
      <c r="C31">
        <v>28</v>
      </c>
      <c r="D31" t="s">
        <v>160</v>
      </c>
      <c r="H31" s="4"/>
      <c r="I31" s="4"/>
    </row>
    <row r="32" spans="1:9" x14ac:dyDescent="0.25">
      <c r="A32" t="s">
        <v>162</v>
      </c>
      <c r="C32">
        <v>96.76</v>
      </c>
      <c r="D32" t="s">
        <v>163</v>
      </c>
      <c r="H32" s="4"/>
      <c r="I32" s="4"/>
    </row>
    <row r="33" spans="1:16" x14ac:dyDescent="0.25">
      <c r="A33" t="s">
        <v>164</v>
      </c>
      <c r="C33">
        <v>179.36</v>
      </c>
      <c r="H33" s="4"/>
      <c r="I33" s="4"/>
    </row>
    <row r="34" spans="1:16" x14ac:dyDescent="0.25">
      <c r="A34" t="s">
        <v>165</v>
      </c>
      <c r="C34">
        <v>892.23</v>
      </c>
      <c r="H34" s="4"/>
      <c r="I34" s="4"/>
    </row>
    <row r="35" spans="1:16" x14ac:dyDescent="0.25">
      <c r="A35" t="s">
        <v>173</v>
      </c>
      <c r="C35">
        <v>446.52</v>
      </c>
      <c r="H35" s="4"/>
      <c r="I35" s="4"/>
    </row>
    <row r="36" spans="1:16" x14ac:dyDescent="0.25">
      <c r="A36" t="s">
        <v>120</v>
      </c>
      <c r="C36">
        <v>342.41</v>
      </c>
      <c r="H36" s="4"/>
      <c r="I36" s="4"/>
    </row>
    <row r="37" spans="1:16" x14ac:dyDescent="0.25">
      <c r="A37" t="s">
        <v>125</v>
      </c>
      <c r="C37">
        <v>50</v>
      </c>
      <c r="D37" t="s">
        <v>127</v>
      </c>
      <c r="H37" s="4">
        <v>0</v>
      </c>
      <c r="I37" s="4" t="s">
        <v>43</v>
      </c>
    </row>
    <row r="38" spans="1:16" x14ac:dyDescent="0.25">
      <c r="A38" t="s">
        <v>14</v>
      </c>
      <c r="C38">
        <f>23.84+30+28.64+9.39+22.53+51.57+16.48+10</f>
        <v>192.45</v>
      </c>
      <c r="D38" t="s">
        <v>156</v>
      </c>
      <c r="H38" s="4"/>
      <c r="I38" s="4">
        <v>250</v>
      </c>
      <c r="J38" s="4" t="s">
        <v>44</v>
      </c>
    </row>
    <row r="39" spans="1:16" x14ac:dyDescent="0.25">
      <c r="A39" t="s">
        <v>155</v>
      </c>
      <c r="B39" s="1"/>
      <c r="C39" s="1">
        <v>18</v>
      </c>
      <c r="I39" s="4">
        <v>250</v>
      </c>
      <c r="J39" s="4" t="s">
        <v>45</v>
      </c>
    </row>
    <row r="40" spans="1:16" x14ac:dyDescent="0.25">
      <c r="C40" s="6">
        <f>B10-SUM(C11:C39)</f>
        <v>3025.7199999999975</v>
      </c>
      <c r="I40" t="s">
        <v>95</v>
      </c>
      <c r="P40" s="4"/>
    </row>
    <row r="41" spans="1:16" x14ac:dyDescent="0.25">
      <c r="A41" t="s">
        <v>5</v>
      </c>
      <c r="B41">
        <v>4800</v>
      </c>
      <c r="I41">
        <v>500</v>
      </c>
      <c r="J41" t="s">
        <v>108</v>
      </c>
      <c r="P41" s="4"/>
    </row>
    <row r="42" spans="1:16" x14ac:dyDescent="0.25">
      <c r="A42" t="s">
        <v>136</v>
      </c>
      <c r="C42">
        <v>274.2</v>
      </c>
      <c r="P42" s="4"/>
    </row>
    <row r="43" spans="1:16" x14ac:dyDescent="0.25">
      <c r="A43" t="s">
        <v>121</v>
      </c>
      <c r="C43">
        <v>225</v>
      </c>
      <c r="P43" s="4"/>
    </row>
    <row r="44" spans="1:16" x14ac:dyDescent="0.25">
      <c r="A44" t="s">
        <v>133</v>
      </c>
      <c r="C44">
        <v>693.06</v>
      </c>
      <c r="P44" s="4"/>
    </row>
    <row r="45" spans="1:16" x14ac:dyDescent="0.25">
      <c r="A45" t="s">
        <v>135</v>
      </c>
      <c r="C45">
        <v>723</v>
      </c>
      <c r="H45" s="4"/>
      <c r="I45" s="4"/>
    </row>
    <row r="46" spans="1:16" x14ac:dyDescent="0.25">
      <c r="A46" t="s">
        <v>138</v>
      </c>
      <c r="C46">
        <v>110.51</v>
      </c>
      <c r="H46" s="4"/>
      <c r="I46" s="4"/>
    </row>
    <row r="47" spans="1:16" x14ac:dyDescent="0.25">
      <c r="A47" t="s">
        <v>129</v>
      </c>
      <c r="C47">
        <v>49</v>
      </c>
      <c r="D47" t="s">
        <v>130</v>
      </c>
      <c r="H47" s="4"/>
      <c r="I47" s="4"/>
    </row>
    <row r="48" spans="1:16" x14ac:dyDescent="0.25">
      <c r="A48" t="s">
        <v>134</v>
      </c>
      <c r="C48">
        <v>338</v>
      </c>
      <c r="H48" s="4"/>
      <c r="I48" s="4"/>
      <c r="O48" s="5" t="s">
        <v>20</v>
      </c>
    </row>
    <row r="49" spans="1:15" x14ac:dyDescent="0.25">
      <c r="A49" t="s">
        <v>131</v>
      </c>
      <c r="C49">
        <v>53</v>
      </c>
      <c r="D49" t="s">
        <v>132</v>
      </c>
      <c r="I49" s="4">
        <v>175</v>
      </c>
      <c r="J49" s="4" t="s">
        <v>92</v>
      </c>
      <c r="O49" s="5"/>
    </row>
    <row r="50" spans="1:15" x14ac:dyDescent="0.25">
      <c r="A50" t="s">
        <v>137</v>
      </c>
      <c r="C50">
        <f>15.68+2</f>
        <v>17.68</v>
      </c>
      <c r="D50" t="s">
        <v>128</v>
      </c>
      <c r="H50" s="4"/>
      <c r="I50" s="4"/>
      <c r="J50" s="4"/>
      <c r="O50" s="15">
        <f>H77+P10</f>
        <v>491.06199999999808</v>
      </c>
    </row>
    <row r="51" spans="1:15" x14ac:dyDescent="0.25">
      <c r="F51">
        <f>H57+SUM(C30:C32)</f>
        <v>214.76</v>
      </c>
      <c r="H51" s="4"/>
      <c r="I51" s="4"/>
      <c r="J51" s="4"/>
    </row>
    <row r="52" spans="1:15" x14ac:dyDescent="0.25">
      <c r="A52" t="s">
        <v>150</v>
      </c>
      <c r="C52">
        <v>1100</v>
      </c>
      <c r="H52" s="4"/>
      <c r="I52" s="4"/>
      <c r="J52" s="4"/>
    </row>
    <row r="53" spans="1:15" x14ac:dyDescent="0.25">
      <c r="A53" t="s">
        <v>74</v>
      </c>
      <c r="C53">
        <v>45.54</v>
      </c>
      <c r="H53" s="4"/>
      <c r="I53" s="4"/>
      <c r="J53" s="4"/>
    </row>
    <row r="54" spans="1:15" x14ac:dyDescent="0.25">
      <c r="A54" t="s">
        <v>90</v>
      </c>
      <c r="C54">
        <v>248.76</v>
      </c>
      <c r="D54" t="s">
        <v>91</v>
      </c>
      <c r="H54" s="4"/>
      <c r="I54" s="4"/>
      <c r="J54" s="4"/>
    </row>
    <row r="55" spans="1:15" x14ac:dyDescent="0.25">
      <c r="A55" t="s">
        <v>89</v>
      </c>
      <c r="C55">
        <v>22.04</v>
      </c>
      <c r="D55" t="s">
        <v>64</v>
      </c>
      <c r="H55" s="4"/>
      <c r="I55" s="4" t="s">
        <v>147</v>
      </c>
      <c r="J55" s="4"/>
    </row>
    <row r="56" spans="1:15" x14ac:dyDescent="0.25">
      <c r="A56" t="s">
        <v>93</v>
      </c>
      <c r="C56">
        <v>50</v>
      </c>
      <c r="H56" s="4"/>
      <c r="I56" s="4" t="s">
        <v>114</v>
      </c>
    </row>
    <row r="57" spans="1:15" x14ac:dyDescent="0.25">
      <c r="A57" t="s">
        <v>70</v>
      </c>
      <c r="C57">
        <f>12+20+17</f>
        <v>49</v>
      </c>
      <c r="H57" s="4"/>
      <c r="I57" s="4" t="s">
        <v>161</v>
      </c>
    </row>
    <row r="58" spans="1:15" x14ac:dyDescent="0.25">
      <c r="A58" t="s">
        <v>72</v>
      </c>
      <c r="C58">
        <f>107.59-40.6</f>
        <v>66.990000000000009</v>
      </c>
      <c r="H58" s="4"/>
      <c r="I58" s="4"/>
    </row>
    <row r="59" spans="1:15" x14ac:dyDescent="0.25">
      <c r="A59" t="s">
        <v>69</v>
      </c>
      <c r="C59">
        <f>124.09+61+61+137.47+47+12+3+3.5+3.5+5.8-4</f>
        <v>454.36</v>
      </c>
      <c r="I59" s="4"/>
      <c r="J59" s="4"/>
    </row>
    <row r="60" spans="1:15" x14ac:dyDescent="0.25">
      <c r="A60" t="s">
        <v>71</v>
      </c>
      <c r="C60">
        <v>432.44</v>
      </c>
      <c r="H60" s="4"/>
      <c r="I60" s="4"/>
    </row>
    <row r="61" spans="1:15" x14ac:dyDescent="0.25">
      <c r="A61" t="s">
        <v>54</v>
      </c>
      <c r="C61">
        <v>750</v>
      </c>
      <c r="H61" s="4">
        <v>95</v>
      </c>
      <c r="I61" s="4" t="s">
        <v>153</v>
      </c>
    </row>
    <row r="62" spans="1:15" x14ac:dyDescent="0.25">
      <c r="A62" t="s">
        <v>82</v>
      </c>
      <c r="C62">
        <f>16.99</f>
        <v>16.989999999999998</v>
      </c>
      <c r="D62" t="s">
        <v>64</v>
      </c>
      <c r="H62" s="4"/>
      <c r="I62" s="4"/>
    </row>
    <row r="63" spans="1:15" x14ac:dyDescent="0.25">
      <c r="A63" t="s">
        <v>80</v>
      </c>
      <c r="C63">
        <f>175.91</f>
        <v>175.91</v>
      </c>
      <c r="D63" t="s">
        <v>64</v>
      </c>
      <c r="H63" s="4">
        <v>0</v>
      </c>
      <c r="I63" s="4" t="s">
        <v>32</v>
      </c>
    </row>
    <row r="64" spans="1:15" x14ac:dyDescent="0.25">
      <c r="A64" t="s">
        <v>63</v>
      </c>
      <c r="C64">
        <v>273.8</v>
      </c>
      <c r="D64" t="s">
        <v>64</v>
      </c>
      <c r="H64" s="4">
        <v>0</v>
      </c>
      <c r="I64" s="4" t="s">
        <v>53</v>
      </c>
    </row>
    <row r="65" spans="1:10" x14ac:dyDescent="0.25">
      <c r="A65" t="s">
        <v>28</v>
      </c>
      <c r="C65">
        <v>300</v>
      </c>
      <c r="H65" s="4"/>
      <c r="I65" s="4" t="s">
        <v>34</v>
      </c>
    </row>
    <row r="66" spans="1:10" x14ac:dyDescent="0.25">
      <c r="A66" t="s">
        <v>67</v>
      </c>
      <c r="C66">
        <v>101.84</v>
      </c>
      <c r="H66" s="4"/>
      <c r="I66" s="4" t="s">
        <v>35</v>
      </c>
    </row>
    <row r="67" spans="1:10" x14ac:dyDescent="0.25">
      <c r="A67" t="s">
        <v>68</v>
      </c>
      <c r="C67">
        <f>250.21</f>
        <v>250.21</v>
      </c>
      <c r="I67" s="4">
        <v>100</v>
      </c>
      <c r="J67" s="4" t="s">
        <v>113</v>
      </c>
    </row>
    <row r="68" spans="1:10" x14ac:dyDescent="0.25">
      <c r="A68" t="s">
        <v>62</v>
      </c>
      <c r="C68">
        <v>268.8</v>
      </c>
      <c r="H68" s="4"/>
      <c r="I68" s="4"/>
    </row>
    <row r="69" spans="1:10" x14ac:dyDescent="0.25">
      <c r="A69" t="s">
        <v>55</v>
      </c>
      <c r="C69">
        <v>495</v>
      </c>
      <c r="H69" s="4"/>
      <c r="I69" s="4" t="s">
        <v>37</v>
      </c>
    </row>
    <row r="70" spans="1:10" x14ac:dyDescent="0.25">
      <c r="A70" t="s">
        <v>56</v>
      </c>
      <c r="C70">
        <f>35+60+55+60</f>
        <v>210</v>
      </c>
      <c r="H70" s="4">
        <v>0</v>
      </c>
      <c r="I70" s="4" t="s">
        <v>46</v>
      </c>
    </row>
    <row r="71" spans="1:10" x14ac:dyDescent="0.25">
      <c r="A71" t="s">
        <v>66</v>
      </c>
      <c r="C71">
        <f>701.54+18+20</f>
        <v>739.54</v>
      </c>
      <c r="I71" s="4">
        <v>75</v>
      </c>
      <c r="J71" s="4" t="s">
        <v>116</v>
      </c>
    </row>
    <row r="72" spans="1:10" x14ac:dyDescent="0.25">
      <c r="A72" t="s">
        <v>65</v>
      </c>
      <c r="C72">
        <v>229.01</v>
      </c>
      <c r="H72" s="4"/>
      <c r="I72" s="4"/>
    </row>
    <row r="73" spans="1:10" x14ac:dyDescent="0.25">
      <c r="A73" t="s">
        <v>61</v>
      </c>
      <c r="C73">
        <v>455.7</v>
      </c>
      <c r="I73" s="4" t="s">
        <v>50</v>
      </c>
    </row>
    <row r="74" spans="1:10" x14ac:dyDescent="0.25">
      <c r="A74" t="s">
        <v>57</v>
      </c>
      <c r="C74">
        <v>235</v>
      </c>
    </row>
    <row r="75" spans="1:10" x14ac:dyDescent="0.25">
      <c r="A75" t="s">
        <v>60</v>
      </c>
      <c r="C75">
        <v>39.549999999999997</v>
      </c>
      <c r="H75" s="1"/>
      <c r="I75" s="1">
        <f>1280*3</f>
        <v>3840</v>
      </c>
      <c r="J75" s="8" t="s">
        <v>33</v>
      </c>
    </row>
    <row r="76" spans="1:10" x14ac:dyDescent="0.25">
      <c r="C76" s="6">
        <f>B41-SUM(C42:C75)</f>
        <v>-4693.9299999999985</v>
      </c>
      <c r="H76">
        <f>SUM(H2:H75)</f>
        <v>95</v>
      </c>
      <c r="I76" t="s">
        <v>6</v>
      </c>
    </row>
    <row r="77" spans="1:10" x14ac:dyDescent="0.25">
      <c r="H77">
        <f>(C40+C76)-H76</f>
        <v>-1763.2100000000009</v>
      </c>
      <c r="I77" t="s">
        <v>38</v>
      </c>
    </row>
  </sheetData>
  <phoneticPr fontId="2" type="noConversion"/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="85" zoomScaleNormal="85" workbookViewId="0">
      <selection activeCell="B34" sqref="B34"/>
    </sheetView>
  </sheetViews>
  <sheetFormatPr defaultRowHeight="15" x14ac:dyDescent="0.25"/>
  <cols>
    <col min="1" max="1" width="10.28515625" bestFit="1" customWidth="1"/>
    <col min="2" max="2" width="17.140625" customWidth="1"/>
  </cols>
  <sheetData>
    <row r="1" spans="1:4" x14ac:dyDescent="0.25">
      <c r="A1" t="s">
        <v>151</v>
      </c>
      <c r="D1" s="9" t="s">
        <v>146</v>
      </c>
    </row>
    <row r="2" spans="1:4" x14ac:dyDescent="0.25">
      <c r="A2">
        <f>7400+1012</f>
        <v>8412</v>
      </c>
      <c r="B2" t="s">
        <v>106</v>
      </c>
    </row>
    <row r="3" spans="1:4" x14ac:dyDescent="0.25">
      <c r="B3">
        <f>201.5+171.56</f>
        <v>373.06</v>
      </c>
      <c r="C3" t="s">
        <v>96</v>
      </c>
    </row>
    <row r="4" spans="1:4" x14ac:dyDescent="0.25">
      <c r="B4">
        <v>246</v>
      </c>
      <c r="C4" t="s">
        <v>103</v>
      </c>
    </row>
    <row r="5" spans="1:4" x14ac:dyDescent="0.25">
      <c r="B5">
        <v>75.709999999999994</v>
      </c>
      <c r="C5" t="s">
        <v>139</v>
      </c>
    </row>
    <row r="6" spans="1:4" x14ac:dyDescent="0.25">
      <c r="B6">
        <v>52.5</v>
      </c>
      <c r="C6" t="s">
        <v>97</v>
      </c>
    </row>
    <row r="7" spans="1:4" x14ac:dyDescent="0.25">
      <c r="B7">
        <v>4</v>
      </c>
      <c r="C7" t="s">
        <v>167</v>
      </c>
    </row>
    <row r="8" spans="1:4" x14ac:dyDescent="0.25">
      <c r="B8">
        <v>21.42</v>
      </c>
      <c r="C8" t="s">
        <v>88</v>
      </c>
    </row>
    <row r="9" spans="1:4" x14ac:dyDescent="0.25">
      <c r="B9">
        <v>120</v>
      </c>
      <c r="C9" t="s">
        <v>98</v>
      </c>
    </row>
    <row r="10" spans="1:4" x14ac:dyDescent="0.25">
      <c r="B10">
        <v>50</v>
      </c>
      <c r="C10" t="s">
        <v>99</v>
      </c>
    </row>
    <row r="11" spans="1:4" x14ac:dyDescent="0.25">
      <c r="B11">
        <v>125</v>
      </c>
      <c r="C11" t="s">
        <v>141</v>
      </c>
    </row>
    <row r="12" spans="1:4" x14ac:dyDescent="0.25">
      <c r="B12">
        <f>82*2</f>
        <v>164</v>
      </c>
      <c r="C12" t="s">
        <v>76</v>
      </c>
    </row>
    <row r="13" spans="1:4" x14ac:dyDescent="0.25">
      <c r="B13" s="4">
        <v>125</v>
      </c>
      <c r="C13" t="s">
        <v>143</v>
      </c>
    </row>
    <row r="14" spans="1:4" x14ac:dyDescent="0.25">
      <c r="B14" s="4">
        <f>388.5+2.33</f>
        <v>390.83</v>
      </c>
      <c r="C14" t="s">
        <v>111</v>
      </c>
    </row>
    <row r="15" spans="1:4" x14ac:dyDescent="0.25">
      <c r="B15">
        <f>143+178.4</f>
        <v>321.39999999999998</v>
      </c>
      <c r="C15" t="s">
        <v>59</v>
      </c>
    </row>
    <row r="16" spans="1:4" x14ac:dyDescent="0.25">
      <c r="B16">
        <f>420.3+24</f>
        <v>444.3</v>
      </c>
      <c r="C16" t="s">
        <v>101</v>
      </c>
    </row>
    <row r="17" spans="2:4" x14ac:dyDescent="0.25">
      <c r="B17" s="4">
        <v>1300</v>
      </c>
      <c r="C17" t="s">
        <v>166</v>
      </c>
    </row>
    <row r="18" spans="2:4" x14ac:dyDescent="0.25">
      <c r="C18">
        <v>100</v>
      </c>
      <c r="D18" t="s">
        <v>78</v>
      </c>
    </row>
    <row r="19" spans="2:4" x14ac:dyDescent="0.25">
      <c r="B19" s="4">
        <v>125</v>
      </c>
      <c r="C19" t="s">
        <v>145</v>
      </c>
    </row>
    <row r="20" spans="2:4" x14ac:dyDescent="0.25">
      <c r="B20">
        <v>474</v>
      </c>
      <c r="C20" t="s">
        <v>102</v>
      </c>
    </row>
    <row r="21" spans="2:4" x14ac:dyDescent="0.25">
      <c r="B21" s="9">
        <v>100</v>
      </c>
      <c r="C21" t="s">
        <v>36</v>
      </c>
    </row>
    <row r="22" spans="2:4" x14ac:dyDescent="0.25">
      <c r="B22">
        <f>100+168</f>
        <v>268</v>
      </c>
      <c r="C22" t="s">
        <v>100</v>
      </c>
    </row>
    <row r="23" spans="2:4" x14ac:dyDescent="0.25">
      <c r="C23" s="4">
        <v>79.86</v>
      </c>
      <c r="D23" t="s">
        <v>152</v>
      </c>
    </row>
    <row r="24" spans="2:4" x14ac:dyDescent="0.25">
      <c r="B24">
        <v>803.19</v>
      </c>
      <c r="C24" t="s">
        <v>79</v>
      </c>
    </row>
    <row r="25" spans="2:4" x14ac:dyDescent="0.25">
      <c r="B25" s="4">
        <f>500+311.56+78.25+110.19</f>
        <v>1000</v>
      </c>
      <c r="C25" t="s">
        <v>109</v>
      </c>
    </row>
    <row r="26" spans="2:4" x14ac:dyDescent="0.25">
      <c r="B26" s="4">
        <v>123.93</v>
      </c>
      <c r="C26" t="s">
        <v>110</v>
      </c>
    </row>
    <row r="27" spans="2:4" x14ac:dyDescent="0.25">
      <c r="B27" s="4">
        <f>82*2</f>
        <v>164</v>
      </c>
      <c r="C27" t="s">
        <v>77</v>
      </c>
    </row>
    <row r="28" spans="2:4" x14ac:dyDescent="0.25">
      <c r="B28" s="4">
        <v>125</v>
      </c>
      <c r="C28" t="s">
        <v>140</v>
      </c>
    </row>
    <row r="29" spans="2:4" x14ac:dyDescent="0.25">
      <c r="B29" s="4">
        <v>325</v>
      </c>
      <c r="C29" t="s">
        <v>112</v>
      </c>
    </row>
    <row r="30" spans="2:4" x14ac:dyDescent="0.25">
      <c r="C30" s="9">
        <v>82</v>
      </c>
      <c r="D30" t="s">
        <v>144</v>
      </c>
    </row>
    <row r="31" spans="2:4" x14ac:dyDescent="0.25">
      <c r="B31" s="4">
        <v>700</v>
      </c>
      <c r="C31" t="s">
        <v>115</v>
      </c>
    </row>
    <row r="32" spans="2:4" x14ac:dyDescent="0.25">
      <c r="B32">
        <v>328</v>
      </c>
      <c r="C32" t="s">
        <v>104</v>
      </c>
    </row>
    <row r="33" spans="1:3" x14ac:dyDescent="0.25">
      <c r="B33" s="10">
        <v>0</v>
      </c>
      <c r="C33" t="s">
        <v>94</v>
      </c>
    </row>
    <row r="34" spans="1:3" x14ac:dyDescent="0.25">
      <c r="A34" t="s">
        <v>11</v>
      </c>
      <c r="B34">
        <f>A2-SUM(B3:B33)</f>
        <v>62.659999999999854</v>
      </c>
    </row>
    <row r="36" spans="1:3" x14ac:dyDescent="0.25">
      <c r="B36" t="s">
        <v>47</v>
      </c>
    </row>
    <row r="37" spans="1:3" x14ac:dyDescent="0.25">
      <c r="B37" t="s">
        <v>15</v>
      </c>
    </row>
    <row r="38" spans="1:3" x14ac:dyDescent="0.25">
      <c r="B38" t="s">
        <v>16</v>
      </c>
    </row>
    <row r="39" spans="1:3" x14ac:dyDescent="0.25">
      <c r="B39" t="s">
        <v>17</v>
      </c>
    </row>
    <row r="40" spans="1:3" x14ac:dyDescent="0.25">
      <c r="B40" t="s">
        <v>18</v>
      </c>
    </row>
    <row r="41" spans="1:3" x14ac:dyDescent="0.25">
      <c r="B41" t="s">
        <v>19</v>
      </c>
    </row>
  </sheetData>
  <phoneticPr fontId="2" type="noConversion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25101</vt:lpstr>
      <vt:lpstr>25102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Wootan, Gail</cp:lastModifiedBy>
  <cp:lastPrinted>2013-09-17T23:46:49Z</cp:lastPrinted>
  <dcterms:created xsi:type="dcterms:W3CDTF">2012-10-11T22:42:48Z</dcterms:created>
  <dcterms:modified xsi:type="dcterms:W3CDTF">2014-08-01T00:00:35Z</dcterms:modified>
</cp:coreProperties>
</file>