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720" windowHeight="12270" tabRatio="799" activeTab="7"/>
  </bookViews>
  <sheets>
    <sheet name="25102" sheetId="1" r:id="rId1"/>
    <sheet name="25101" sheetId="2" r:id="rId2"/>
    <sheet name="compare to EA" sheetId="3" r:id="rId3"/>
    <sheet name="compare to 02-03" sheetId="4" r:id="rId4"/>
    <sheet name="work-study" sheetId="5" r:id="rId5"/>
    <sheet name="25101 to print" sheetId="77" r:id="rId6"/>
    <sheet name="25102 to print" sheetId="78" r:id="rId7"/>
    <sheet name="25102 revised" sheetId="79" r:id="rId8"/>
    <sheet name="25101 revised" sheetId="80" r:id="rId9"/>
  </sheets>
  <definedNames>
    <definedName name="_xlnm.Print_Titles" localSheetId="5">'25101 to print'!$4:$4</definedName>
  </definedNames>
  <calcPr calcId="125725"/>
</workbook>
</file>

<file path=xl/calcChain.xml><?xml version="1.0" encoding="utf-8"?>
<calcChain xmlns="http://schemas.openxmlformats.org/spreadsheetml/2006/main">
  <c r="H11" i="5"/>
  <c r="P13" i="2"/>
  <c r="H14" i="5"/>
  <c r="G14"/>
  <c r="G11"/>
  <c r="B53" i="80"/>
  <c r="E30" i="79"/>
  <c r="O14" i="2"/>
  <c r="K14"/>
  <c r="B15" i="80"/>
  <c r="K13" i="2" l="1"/>
  <c r="K23"/>
  <c r="J23"/>
  <c r="K12"/>
  <c r="K24"/>
  <c r="P5"/>
  <c r="L5"/>
  <c r="D16" i="80"/>
  <c r="D30" i="79"/>
  <c r="D28"/>
  <c r="D20"/>
  <c r="D14"/>
  <c r="C13"/>
  <c r="C28"/>
  <c r="B28"/>
  <c r="C23"/>
  <c r="B23"/>
  <c r="C18"/>
  <c r="C20" s="1"/>
  <c r="B16"/>
  <c r="B20" s="1"/>
  <c r="B14"/>
  <c r="C11"/>
  <c r="D47" i="80"/>
  <c r="D52"/>
  <c r="D41"/>
  <c r="D20"/>
  <c r="D32"/>
  <c r="L39" i="2"/>
  <c r="K19"/>
  <c r="O19"/>
  <c r="M37"/>
  <c r="C52" i="80"/>
  <c r="B52"/>
  <c r="C47"/>
  <c r="B47"/>
  <c r="B41"/>
  <c r="C36"/>
  <c r="C41" s="1"/>
  <c r="C29"/>
  <c r="B29"/>
  <c r="B27"/>
  <c r="C32"/>
  <c r="C20"/>
  <c r="B20"/>
  <c r="C13"/>
  <c r="N20" i="2"/>
  <c r="A12" i="3"/>
  <c r="C29" i="78"/>
  <c r="D29" s="1"/>
  <c r="B29"/>
  <c r="C24"/>
  <c r="B24"/>
  <c r="D24" s="1"/>
  <c r="C17"/>
  <c r="C19" s="1"/>
  <c r="B15"/>
  <c r="B19" s="1"/>
  <c r="B13"/>
  <c r="C12"/>
  <c r="C10"/>
  <c r="C21" i="1"/>
  <c r="C54" i="2"/>
  <c r="C52" i="77"/>
  <c r="D52" s="1"/>
  <c r="B52"/>
  <c r="C47"/>
  <c r="D47" s="1"/>
  <c r="B47"/>
  <c r="B43"/>
  <c r="C38"/>
  <c r="C43" s="1"/>
  <c r="D43" s="1"/>
  <c r="C31"/>
  <c r="B31"/>
  <c r="B29"/>
  <c r="B34" s="1"/>
  <c r="C34"/>
  <c r="C22"/>
  <c r="B22"/>
  <c r="D22" s="1"/>
  <c r="B17"/>
  <c r="C16"/>
  <c r="C17" s="1"/>
  <c r="B13"/>
  <c r="B14" s="1"/>
  <c r="C12"/>
  <c r="C6"/>
  <c r="C14" s="1"/>
  <c r="M33" i="2"/>
  <c r="B31"/>
  <c r="D53" i="80" l="1"/>
  <c r="E53" s="1"/>
  <c r="C16"/>
  <c r="C53" s="1"/>
  <c r="B32"/>
  <c r="B16"/>
  <c r="C14" i="79"/>
  <c r="B30"/>
  <c r="C30"/>
  <c r="C13" i="78"/>
  <c r="D13" s="1"/>
  <c r="B31"/>
  <c r="D19"/>
  <c r="C31"/>
  <c r="D17" i="77"/>
  <c r="D14"/>
  <c r="C55"/>
  <c r="D34"/>
  <c r="C54"/>
  <c r="B54"/>
  <c r="B55" s="1"/>
  <c r="D31" i="78" l="1"/>
  <c r="D54" i="77"/>
  <c r="D55"/>
  <c r="H24" i="5"/>
  <c r="E14"/>
  <c r="F14" s="1"/>
  <c r="E13"/>
  <c r="F13" s="1"/>
  <c r="H13" s="1"/>
  <c r="E12"/>
  <c r="F12" s="1"/>
  <c r="H12" s="1"/>
  <c r="I6" s="1"/>
  <c r="E11"/>
  <c r="F11" s="1"/>
  <c r="B54" i="2"/>
  <c r="K53"/>
  <c r="K61" s="1"/>
  <c r="M50"/>
  <c r="C30" s="1"/>
  <c r="C36" s="1"/>
  <c r="C49"/>
  <c r="B49"/>
  <c r="B45"/>
  <c r="C40"/>
  <c r="C45" s="1"/>
  <c r="M39"/>
  <c r="B36"/>
  <c r="C33"/>
  <c r="B33"/>
  <c r="C24"/>
  <c r="D24" s="1"/>
  <c r="B24"/>
  <c r="I22"/>
  <c r="C19"/>
  <c r="D19" s="1"/>
  <c r="B19"/>
  <c r="K18"/>
  <c r="K17"/>
  <c r="C16"/>
  <c r="B13"/>
  <c r="B14" s="1"/>
  <c r="C12"/>
  <c r="K9"/>
  <c r="M9" s="1"/>
  <c r="C6"/>
  <c r="F8" i="4"/>
  <c r="E8"/>
  <c r="C9"/>
  <c r="D6"/>
  <c r="D7"/>
  <c r="D8"/>
  <c r="D10"/>
  <c r="D11"/>
  <c r="D13"/>
  <c r="D14"/>
  <c r="D5"/>
  <c r="B12"/>
  <c r="D12" s="1"/>
  <c r="D36" i="2" l="1"/>
  <c r="C14"/>
  <c r="C56" s="1"/>
  <c r="M15"/>
  <c r="B55"/>
  <c r="B56" s="1"/>
  <c r="D49"/>
  <c r="D14"/>
  <c r="F15" i="5"/>
  <c r="G15"/>
  <c r="D45" i="2"/>
  <c r="C55"/>
  <c r="J24"/>
  <c r="M24" s="1"/>
  <c r="N24" s="1"/>
  <c r="O24" s="1"/>
  <c r="I23"/>
  <c r="I24" s="1"/>
  <c r="O4"/>
  <c r="O17" s="1"/>
  <c r="B9" i="4"/>
  <c r="D55" i="2" l="1"/>
  <c r="D56"/>
  <c r="H15" i="5"/>
  <c r="D9" i="4"/>
  <c r="E9"/>
  <c r="F9" s="1"/>
  <c r="A9" i="3" l="1"/>
  <c r="D6"/>
  <c r="D5"/>
  <c r="C23" i="1"/>
  <c r="D23" s="1"/>
  <c r="B19"/>
  <c r="B17"/>
  <c r="B33"/>
  <c r="B28"/>
  <c r="B23"/>
  <c r="C33"/>
  <c r="C28"/>
  <c r="C16"/>
  <c r="C14"/>
  <c r="D33" l="1"/>
  <c r="D28"/>
  <c r="B35"/>
  <c r="D35" s="1"/>
  <c r="C17"/>
  <c r="C35" s="1"/>
  <c r="D17" l="1"/>
</calcChain>
</file>

<file path=xl/sharedStrings.xml><?xml version="1.0" encoding="utf-8"?>
<sst xmlns="http://schemas.openxmlformats.org/spreadsheetml/2006/main" count="533" uniqueCount="257">
  <si>
    <t>NOTES</t>
  </si>
  <si>
    <t>Curriculum</t>
  </si>
  <si>
    <t>Instructional Supplies</t>
  </si>
  <si>
    <t>Textbooks</t>
  </si>
  <si>
    <t>Speakers</t>
  </si>
  <si>
    <t>SUBTOTAL</t>
  </si>
  <si>
    <t>Student Support</t>
  </si>
  <si>
    <t>Conferences</t>
  </si>
  <si>
    <t>Thesis Research Funding</t>
  </si>
  <si>
    <t>Professional Membership</t>
  </si>
  <si>
    <t>NCSE membership</t>
  </si>
  <si>
    <t>NCSE conference travel</t>
  </si>
  <si>
    <t>Miscelleneous</t>
  </si>
  <si>
    <t>Buffer</t>
  </si>
  <si>
    <t>GRAND TOTALS</t>
  </si>
  <si>
    <t>Graduate Program on the Environment -13-14 Budget Request</t>
  </si>
  <si>
    <t>FY13 allocation</t>
  </si>
  <si>
    <t>FY14 proposed</t>
  </si>
  <si>
    <t>$60/quarter for 7.0 faculty (same as UG budget requests)</t>
  </si>
  <si>
    <t>Faculty Retreat</t>
  </si>
  <si>
    <t>Quant Methods Teaching Asst</t>
  </si>
  <si>
    <t>Academic Affairs usually transfers $3000 into our budget, so should not count toward budget</t>
  </si>
  <si>
    <t>to cover staff/ faculty costs</t>
  </si>
  <si>
    <t>$300 per course (assuming 2 speakers at $150ea for 16 courses - 4 core, 12 electives)</t>
  </si>
  <si>
    <t>08-09 Base Budget: $9800 (32% higher than it is now)</t>
  </si>
  <si>
    <t>Field Trips*</t>
  </si>
  <si>
    <t>*In 12-13, 6 1-day vans in fall, 3 1-day vans in winter, 2 1-day vans in spring + 4 2-day vans in fall (these should've been charged to student fees)</t>
  </si>
  <si>
    <t>Supplies/Mailing/Copies</t>
  </si>
  <si>
    <t>for Director -NCSE and 2 CEDD meetings (could only go to one meeting in 12-13)</t>
  </si>
  <si>
    <t>international climate change conference</t>
  </si>
  <si>
    <t>summer 2013 conference at UW</t>
  </si>
  <si>
    <t>for food</t>
  </si>
  <si>
    <t>12-13 Base Budget: $7400 + $1510 CF = $8910 (3 quarters = 66 grad credits)</t>
  </si>
  <si>
    <t>12-13 EA program got $8164 for 3 quarters (48 credits, 63 max)</t>
  </si>
  <si>
    <t>12-13 Ecology of Grazing got $1344  for 1 quarter (16 credits, 24 max)</t>
  </si>
  <si>
    <t>12-13 Ag &amp; Cons got $2912 for 2 quarters (32 credits, 48 max)</t>
  </si>
  <si>
    <t>Thesis Presentations</t>
  </si>
  <si>
    <t xml:space="preserve">25102 - MES Academic </t>
  </si>
  <si>
    <t>MES</t>
  </si>
  <si>
    <t>EA</t>
  </si>
  <si>
    <t xml:space="preserve"> # of full-time quarters</t>
  </si>
  <si>
    <t>budget</t>
  </si>
  <si>
    <t>$ per qtr</t>
  </si>
  <si>
    <t>MES offers 2 full-time core tracks each year (gcore,ess, rdqm &amp; case studies, thesis) or 6 full-time quarters, as well as 12 electives, or 4 full-time quarters (each elective is equal to 1/3 of a full class)</t>
  </si>
  <si>
    <t>EA offers 1 full time track for 3 quarters</t>
  </si>
  <si>
    <t>25101 - MES Support</t>
  </si>
  <si>
    <t>Salaries and Wages</t>
  </si>
  <si>
    <t>Assistant Director</t>
  </si>
  <si>
    <t>Recruitment Assistant (temp employee)</t>
  </si>
  <si>
    <t>MES Ambassadors</t>
  </si>
  <si>
    <t>&lt;--additional budget requested</t>
  </si>
  <si>
    <t>Benefits</t>
  </si>
  <si>
    <t>AD benefits</t>
  </si>
  <si>
    <t>Other Expenses</t>
  </si>
  <si>
    <t>Campus Events</t>
  </si>
  <si>
    <t>TEDx (t-shirts, advertising)</t>
  </si>
  <si>
    <t>Rachel Carson Forum Support</t>
  </si>
  <si>
    <t>Recruitment</t>
  </si>
  <si>
    <t>Ambassador lunches/coffee</t>
  </si>
  <si>
    <t>Postage</t>
  </si>
  <si>
    <t xml:space="preserve">Print Advertising </t>
  </si>
  <si>
    <t>Web Advertising/Name Purchasing</t>
  </si>
  <si>
    <t>zinch</t>
  </si>
  <si>
    <t>Publication Printing</t>
  </si>
  <si>
    <t>petersons</t>
  </si>
  <si>
    <t>gradschoolguide</t>
  </si>
  <si>
    <t>Travel costs</t>
  </si>
  <si>
    <t>includes ambassador travel</t>
  </si>
  <si>
    <t>n/a</t>
  </si>
  <si>
    <t>Office</t>
  </si>
  <si>
    <t xml:space="preserve">Office Supplies - </t>
  </si>
  <si>
    <t>grist</t>
  </si>
  <si>
    <t>Telephone - Office</t>
  </si>
  <si>
    <t>total</t>
  </si>
  <si>
    <t>misc.</t>
  </si>
  <si>
    <t>includes facilities labor for office work</t>
  </si>
  <si>
    <t>chinook (13/14)</t>
  </si>
  <si>
    <t>Buffer for unexpected costs</t>
  </si>
  <si>
    <t>pc magazine (13/14)</t>
  </si>
  <si>
    <t>winds of change mag</t>
  </si>
  <si>
    <t>mother jones mag (fall 2013)</t>
  </si>
  <si>
    <t>NAGAP membership</t>
  </si>
  <si>
    <t>graduate recruitment association</t>
  </si>
  <si>
    <t>NAGAP conference and travel</t>
  </si>
  <si>
    <t>Oly Power and Light - 6 half pages</t>
  </si>
  <si>
    <t>Seattle Weekly education, best of, or green</t>
  </si>
  <si>
    <t>Student Events</t>
  </si>
  <si>
    <t>Orientation (including Tuesday welcome)</t>
  </si>
  <si>
    <t>food and challenge course (estimate)</t>
  </si>
  <si>
    <t>Graduation</t>
  </si>
  <si>
    <t>food, facilities, media, printing, speaker</t>
  </si>
  <si>
    <t>OTHER EXPENSES SUBTOTAL</t>
  </si>
  <si>
    <t>&lt;--additional OE budget requested</t>
  </si>
  <si>
    <t>Graduate Program on the Environment - 13-14 Budget Request</t>
  </si>
  <si>
    <t>FY03</t>
  </si>
  <si>
    <t>FY13</t>
  </si>
  <si>
    <t>average FTE</t>
  </si>
  <si>
    <t>(chosen because 02/03 was last time we were above 80 FTE)</t>
  </si>
  <si>
    <t>full-time (12 credits) quarterly resident tuition</t>
  </si>
  <si>
    <t>full-time (12 credits) quarterly nonresident tuition</t>
  </si>
  <si>
    <t>% increase/decrease</t>
  </si>
  <si>
    <t>propose 44% increase to FY03 base budget (based on increase in resident tuition)</t>
  </si>
  <si>
    <t>no change</t>
  </si>
  <si>
    <t>can't change</t>
  </si>
  <si>
    <t>increase from FY03</t>
  </si>
  <si>
    <t>decrease from FY03</t>
  </si>
  <si>
    <t>2002-03 and 2012-13 comparison -used for 13-14 budget proposal</t>
  </si>
  <si>
    <t>increase over FY13</t>
  </si>
  <si>
    <t>tuition increase</t>
  </si>
  <si>
    <t>FY 14 budget proposal (44% increase to FY03)</t>
  </si>
  <si>
    <t>2012-2013</t>
  </si>
  <si>
    <t>2013-2014</t>
  </si>
  <si>
    <t>Base Budget: $90450.55; w/CF: 92250.55</t>
  </si>
  <si>
    <t>gail</t>
  </si>
  <si>
    <t>student</t>
  </si>
  <si>
    <t>13-14 includes 3% raise proposed by President</t>
  </si>
  <si>
    <t>travel</t>
  </si>
  <si>
    <t>Environmental Internship AmeriCorps</t>
  </si>
  <si>
    <t>benefits</t>
  </si>
  <si>
    <t>Office Assistant - w/s student employee</t>
  </si>
  <si>
    <t>$11/hr 12-13 10/1-6/15 (will occur again in 14/15)</t>
  </si>
  <si>
    <t>goods/services</t>
  </si>
  <si>
    <t>Recruitment Asst - w/s student employee</t>
  </si>
  <si>
    <t>12-13: 9/15 - late Oct ($13/hr), 13-14: 6/16-6/30 ($13/hr)</t>
  </si>
  <si>
    <t>Recruitment Assistant - non w/s student emp</t>
  </si>
  <si>
    <t>admitted day/la crosse</t>
  </si>
  <si>
    <t>Communications  Asst (student emp, non w/s)</t>
  </si>
  <si>
    <t>$12/hour, 10 hours/week, 30 weeks (hope for work/study student in 14/15)</t>
  </si>
  <si>
    <t>12-13, 2 ambassadors had work study. Hoping all 3 have it in 13-14</t>
  </si>
  <si>
    <t>13-14 includes increased retirement due to raise and age increase</t>
  </si>
  <si>
    <t>subtotals</t>
  </si>
  <si>
    <t xml:space="preserve">salary/wage </t>
  </si>
  <si>
    <t>salary/wage</t>
  </si>
  <si>
    <t>other expenses</t>
  </si>
  <si>
    <t>Photo/Video</t>
  </si>
  <si>
    <t>orientation photos, day of action photos, videos</t>
  </si>
  <si>
    <t>$100/qtr to take people to lunch, etc</t>
  </si>
  <si>
    <t>Parking for prospective students</t>
  </si>
  <si>
    <t>includes tri-fold, envelopes, bus cards</t>
  </si>
  <si>
    <t xml:space="preserve">Newsletter </t>
  </si>
  <si>
    <t>12-13 (25/qtr), 13-14 (100/qtr)</t>
  </si>
  <si>
    <t>Fair and Event Fees</t>
  </si>
  <si>
    <t>Telephone - Cell</t>
  </si>
  <si>
    <t>AT&amp;T cell 7.45 + taxes + long distance/mo</t>
  </si>
  <si>
    <t>Surveymonkey</t>
  </si>
  <si>
    <t>computer hardware/software</t>
  </si>
  <si>
    <t>update to CS5</t>
  </si>
  <si>
    <t>Admitted Student Evening</t>
  </si>
  <si>
    <t>events to attend</t>
  </si>
  <si>
    <t>Idealist SF, LA, Minneaplis, Chicago</t>
  </si>
  <si>
    <t>NCUR</t>
  </si>
  <si>
    <t>CA Diversity Forum (North and South)</t>
  </si>
  <si>
    <t>&lt;--add'l total budget (expecting $x more revenue in 13/14)</t>
  </si>
  <si>
    <t>Storming the Sound (x2)</t>
  </si>
  <si>
    <t>Salish Sea Ecosystem</t>
  </si>
  <si>
    <t>miscellaneous</t>
  </si>
  <si>
    <t>FWS is the only work study that can go toward nonresidents</t>
  </si>
  <si>
    <t>we will likely only be given FWS or EWS so use 75/25 ratio</t>
  </si>
  <si>
    <t>work/study - $10,000</t>
  </si>
  <si>
    <t>at 75/25 (FWS, EWS) that equals</t>
  </si>
  <si>
    <t>&lt;--what we'd have to pay</t>
  </si>
  <si>
    <t>at 60/40 (SWS) that equals</t>
  </si>
  <si>
    <t>per hour</t>
  </si>
  <si>
    <t>hours/week</t>
  </si>
  <si>
    <t>weeks</t>
  </si>
  <si>
    <t>total hours</t>
  </si>
  <si>
    <t>total pay</t>
  </si>
  <si>
    <t>work/study</t>
  </si>
  <si>
    <t>mes</t>
  </si>
  <si>
    <t>communications asst (10/1-6/15), 10 hr/week - no work during breaks</t>
  </si>
  <si>
    <t>student assistant ambassadors (3 @ $900 EA)</t>
  </si>
  <si>
    <t>office assistant - no in-person recruitment</t>
  </si>
  <si>
    <t>recruitment assistant - more in-person recruitment</t>
  </si>
  <si>
    <t>WORK/STUDY AMOUNTS</t>
  </si>
  <si>
    <t>office/recruit assistant</t>
  </si>
  <si>
    <t>Lisa Abdulghani</t>
  </si>
  <si>
    <t>gets remainder</t>
  </si>
  <si>
    <t>comm asst</t>
  </si>
  <si>
    <t>does Jana qualify in 13-14?</t>
  </si>
  <si>
    <t>ambassadors</t>
  </si>
  <si>
    <t>office assistant schoolyear (9/16 - 6/15), 19 hr/week</t>
  </si>
  <si>
    <t>office assistant summer (7/1-9/15), 19 hr/week</t>
  </si>
  <si>
    <t>$13/hr 13-14 (recruit asst); 9/16-6/15</t>
  </si>
  <si>
    <t>7/1 - 9/15 ($13/hr)</t>
  </si>
  <si>
    <t>includes shirts for staff</t>
  </si>
  <si>
    <t>share cost w/MPA, put it on 25102 for FY13</t>
  </si>
  <si>
    <t>want to do intl mailing in 13-14 ($1400)</t>
  </si>
  <si>
    <t>gradschools*4</t>
  </si>
  <si>
    <t>4 Idealists, NCUR, CA Diversity Forums, Storming the Sound, Salish Sea, Santa Cruz, misc</t>
  </si>
  <si>
    <t>UC Santa Cruz</t>
  </si>
  <si>
    <t>gradschools.com, americorps, peace corps, GRE</t>
  </si>
  <si>
    <t>Seattle Weekly, Oly Power &amp; Light</t>
  </si>
  <si>
    <t>25101 - MES Support (FY13 Base Budget: $90450.55; w/CF: 92250.55)</t>
  </si>
  <si>
    <t>includes Ambassador travel</t>
  </si>
  <si>
    <t>Environmental Internship Coordinator (AmeriCorps)</t>
  </si>
  <si>
    <t>share with CCBLA?</t>
  </si>
  <si>
    <t>or Academic Affairs pays</t>
  </si>
  <si>
    <t>$1000/qtr; day trips - vans or mileage, o/n trips - faculty housing</t>
  </si>
  <si>
    <t>$1000/qr</t>
  </si>
  <si>
    <t>International course</t>
  </si>
  <si>
    <t>12-13 EA program got $8164 for 3 quarters (48 credits, 63 max), org 222844</t>
  </si>
  <si>
    <t>similar amount that Foundation gives to Budget Dean for graduate  travel grants for UG (we wouldn't ask budget dean for funding if that's the case)</t>
  </si>
  <si>
    <t>what was estimated by students for 12-13 theses (also equal to $500/student - administered by readers)</t>
  </si>
  <si>
    <t>winter qtr 80 hours, spring qtr 160 hours @ $14/hour (12-13 is 120 hours @ $14/hr)</t>
  </si>
  <si>
    <t>25102 - MES Academic  (12-13 Base Budget: $7400 + $1510 CF = $8910)</t>
  </si>
  <si>
    <t>If MES rc'd $2721.33 per quarter, we should have:</t>
  </si>
  <si>
    <t>which is this much more than FY13 base budget</t>
  </si>
  <si>
    <t>&lt;--additional budget requested (expecting $62k profit increase in FY14)</t>
  </si>
  <si>
    <t>&lt;--add'l total budget (expecting $62k profit increase in FY14)</t>
  </si>
  <si>
    <t>similar amount that Foundation gives to Budget Dean for graduate  travel grants for GR (we wouldn't ask budget dean for funding if rc'd)</t>
  </si>
  <si>
    <t>Academic Affairs usually transfers $3000 into our budget, so did not count toward budget</t>
  </si>
  <si>
    <t>*In 12-13, 6 1-day vans in fall, 1 schoolbus in fall, 3 1-day vans in winter, 2 1-day vans in spring + 4 2-day vans in fall (these should've been charged to student fees)</t>
  </si>
  <si>
    <t>25102 - MES Academic base budget</t>
  </si>
  <si>
    <t>25101 - MES Support base budget (TOTAL)</t>
  </si>
  <si>
    <t>25101 - MES Support base budget (AD SALARY)</t>
  </si>
  <si>
    <t>25101 - MES Support base budget (BENEFITS)</t>
  </si>
  <si>
    <t>25101 - MES Support base budget (STUDENT SALARY)</t>
  </si>
  <si>
    <t>25101- MES Support base budget (G &amp; S)</t>
  </si>
  <si>
    <t>25101 - MES Support base budget (TRAVEL)</t>
  </si>
  <si>
    <t>FY 14 revised</t>
  </si>
  <si>
    <t>not included since supported by college</t>
  </si>
  <si>
    <t>americorps newsletter (or 800 ea and marketing pay 1100), 5k for back to school issue</t>
  </si>
  <si>
    <t>GRE search service (2361 names + fees)</t>
  </si>
  <si>
    <t>pc newsletter (or 600 for smaller ad) - propose grad programs pay $350, marketing $450</t>
  </si>
  <si>
    <t>Research intern</t>
  </si>
  <si>
    <t>private sector research summer 2012</t>
  </si>
  <si>
    <t>will work on development for 14-15</t>
  </si>
  <si>
    <t>want to do intl mailing in 14-15 ($1400)</t>
  </si>
  <si>
    <t>NCSE/CEDD institutional membership</t>
  </si>
  <si>
    <t>NCSE/CEDD travel</t>
  </si>
  <si>
    <t>for NCSE and 2 CEDD meetings</t>
  </si>
  <si>
    <t>assume use of staff development funds (want to go every other year)</t>
  </si>
  <si>
    <t>lunch for 2 days</t>
  </si>
  <si>
    <t>Office Supplies/Misc</t>
  </si>
  <si>
    <t>update to CS5 if funding available jun 2014</t>
  </si>
  <si>
    <t>FY14 revised</t>
  </si>
  <si>
    <t>$200 per student</t>
  </si>
  <si>
    <t>&lt;--add'l FY14 budget requested over FY14 available</t>
  </si>
  <si>
    <t>Salaries/Wages/Benefits</t>
  </si>
  <si>
    <t>12-13, 2 ambassadors had work study. 13-14 2 students have it again</t>
  </si>
  <si>
    <t>student benefits</t>
  </si>
  <si>
    <t>additional from gail benef</t>
  </si>
  <si>
    <t>FY13 available funds excluding AD salary/benefits (includes NCSE + $1800 CF): $29,976</t>
  </si>
  <si>
    <t>FY14 available funds excluding AD salary/benefits (includes NCSE): $26,987</t>
  </si>
  <si>
    <t>only 2 can get work-study at $675 ea</t>
  </si>
  <si>
    <t>Office Assistant - non w/s student emp</t>
  </si>
  <si>
    <t>7/1 - 9/15 ($11/hr)</t>
  </si>
  <si>
    <t>photos and videos</t>
  </si>
  <si>
    <t>4 Idealists, NCUR, CA Diversity Forums, Storming the Sound, Santa Cruz, misc</t>
  </si>
  <si>
    <t>gradschools.com, americorps</t>
  </si>
  <si>
    <t>Facilities</t>
  </si>
  <si>
    <t>$1000 for 2 courses</t>
  </si>
  <si>
    <t>FY13 available funds: $7400 + $1510 CF = $8910</t>
  </si>
  <si>
    <t>&lt;--additional budget requested over FY14 available</t>
  </si>
  <si>
    <t>similar amount that Found. gives to Budget Dean for travel grants for GR (we wouldn't ask budget dean for funding)</t>
  </si>
  <si>
    <t>minus 2 weeks for xmas break</t>
  </si>
  <si>
    <t>FY14 available funds: $7400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</si>
</sst>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49">
    <xf numFmtId="0" fontId="0" fillId="0" borderId="0" xfId="0"/>
    <xf numFmtId="0" fontId="0" fillId="0" borderId="2" xfId="0" applyBorder="1"/>
    <xf numFmtId="0" fontId="2" fillId="0" borderId="0" xfId="0" applyFont="1"/>
    <xf numFmtId="0" fontId="0" fillId="0" borderId="0" xfId="0" applyFill="1"/>
    <xf numFmtId="0" fontId="0" fillId="0" borderId="2" xfId="0" applyFill="1" applyBorder="1"/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3" borderId="3" xfId="0" applyFill="1" applyBorder="1"/>
    <xf numFmtId="0" fontId="2" fillId="3" borderId="5" xfId="0" applyFont="1" applyFill="1" applyBorder="1"/>
    <xf numFmtId="9" fontId="3" fillId="0" borderId="0" xfId="1" applyFont="1"/>
    <xf numFmtId="16" fontId="2" fillId="0" borderId="0" xfId="0" applyNumberFormat="1" applyFont="1"/>
    <xf numFmtId="0" fontId="8" fillId="0" borderId="0" xfId="0" applyFont="1" applyFill="1"/>
    <xf numFmtId="0" fontId="8" fillId="0" borderId="0" xfId="0" applyFont="1"/>
    <xf numFmtId="0" fontId="4" fillId="0" borderId="0" xfId="0" applyFont="1" applyFill="1"/>
    <xf numFmtId="0" fontId="0" fillId="0" borderId="0" xfId="0" applyAlignment="1">
      <alignment wrapText="1"/>
    </xf>
    <xf numFmtId="44" fontId="0" fillId="5" borderId="1" xfId="2" applyFont="1" applyFill="1" applyBorder="1"/>
    <xf numFmtId="0" fontId="10" fillId="0" borderId="0" xfId="0" applyFont="1"/>
    <xf numFmtId="16" fontId="0" fillId="0" borderId="0" xfId="0" applyNumberFormat="1"/>
    <xf numFmtId="9" fontId="0" fillId="0" borderId="0" xfId="1" applyFont="1"/>
    <xf numFmtId="44" fontId="0" fillId="0" borderId="0" xfId="2" applyFont="1"/>
    <xf numFmtId="0" fontId="0" fillId="0" borderId="9" xfId="0" applyBorder="1"/>
    <xf numFmtId="9" fontId="0" fillId="0" borderId="9" xfId="1" applyFont="1" applyBorder="1"/>
    <xf numFmtId="44" fontId="0" fillId="0" borderId="9" xfId="2" applyFont="1" applyBorder="1"/>
    <xf numFmtId="44" fontId="0" fillId="0" borderId="0" xfId="0" applyNumberFormat="1"/>
    <xf numFmtId="0" fontId="0" fillId="5" borderId="9" xfId="0" applyFill="1" applyBorder="1" applyAlignment="1">
      <alignment wrapText="1"/>
    </xf>
    <xf numFmtId="44" fontId="0" fillId="5" borderId="9" xfId="2" applyFont="1" applyFill="1" applyBorder="1" applyAlignment="1">
      <alignment wrapText="1"/>
    </xf>
    <xf numFmtId="9" fontId="0" fillId="5" borderId="9" xfId="1" applyFont="1" applyFill="1" applyBorder="1" applyAlignment="1">
      <alignment wrapText="1"/>
    </xf>
    <xf numFmtId="0" fontId="0" fillId="0" borderId="9" xfId="0" applyBorder="1" applyAlignment="1">
      <alignment wrapText="1"/>
    </xf>
    <xf numFmtId="44" fontId="0" fillId="0" borderId="9" xfId="2" applyFont="1" applyBorder="1" applyAlignment="1">
      <alignment wrapText="1"/>
    </xf>
    <xf numFmtId="9" fontId="0" fillId="0" borderId="9" xfId="1" applyFont="1" applyBorder="1" applyAlignment="1">
      <alignment wrapText="1"/>
    </xf>
    <xf numFmtId="0" fontId="0" fillId="7" borderId="9" xfId="0" applyFill="1" applyBorder="1" applyAlignment="1">
      <alignment wrapText="1"/>
    </xf>
    <xf numFmtId="44" fontId="0" fillId="7" borderId="9" xfId="2" applyFont="1" applyFill="1" applyBorder="1" applyAlignment="1">
      <alignment wrapText="1"/>
    </xf>
    <xf numFmtId="9" fontId="0" fillId="7" borderId="9" xfId="1" applyFont="1" applyFill="1" applyBorder="1" applyAlignment="1">
      <alignment wrapText="1"/>
    </xf>
    <xf numFmtId="44" fontId="0" fillId="7" borderId="9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9" xfId="0" applyFill="1" applyBorder="1" applyAlignment="1">
      <alignment wrapText="1"/>
    </xf>
    <xf numFmtId="44" fontId="0" fillId="0" borderId="9" xfId="2" applyFont="1" applyFill="1" applyBorder="1" applyAlignment="1">
      <alignment wrapText="1"/>
    </xf>
    <xf numFmtId="9" fontId="0" fillId="0" borderId="9" xfId="1" applyFont="1" applyFill="1" applyBorder="1" applyAlignment="1">
      <alignment wrapText="1"/>
    </xf>
    <xf numFmtId="16" fontId="0" fillId="4" borderId="9" xfId="0" applyNumberForma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9" fontId="0" fillId="4" borderId="9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wrapText="1"/>
    </xf>
    <xf numFmtId="0" fontId="11" fillId="0" borderId="0" xfId="0" applyFont="1"/>
    <xf numFmtId="16" fontId="11" fillId="0" borderId="0" xfId="0" applyNumberFormat="1" applyFont="1"/>
    <xf numFmtId="0" fontId="12" fillId="0" borderId="0" xfId="0" applyFont="1"/>
    <xf numFmtId="0" fontId="11" fillId="3" borderId="5" xfId="0" applyFont="1" applyFill="1" applyBorder="1"/>
    <xf numFmtId="44" fontId="12" fillId="0" borderId="0" xfId="0" applyNumberFormat="1" applyFont="1"/>
    <xf numFmtId="0" fontId="12" fillId="3" borderId="3" xfId="0" applyFont="1" applyFill="1" applyBorder="1"/>
    <xf numFmtId="0" fontId="12" fillId="0" borderId="0" xfId="0" applyFont="1" applyFill="1"/>
    <xf numFmtId="44" fontId="12" fillId="3" borderId="3" xfId="2" applyFont="1" applyFill="1" applyBorder="1"/>
    <xf numFmtId="44" fontId="12" fillId="2" borderId="3" xfId="2" applyFont="1" applyFill="1" applyBorder="1"/>
    <xf numFmtId="44" fontId="12" fillId="0" borderId="0" xfId="0" applyNumberFormat="1" applyFont="1" applyFill="1"/>
    <xf numFmtId="0" fontId="12" fillId="0" borderId="0" xfId="0" applyFont="1" applyFill="1" applyBorder="1"/>
    <xf numFmtId="0" fontId="12" fillId="0" borderId="2" xfId="0" applyFont="1" applyBorder="1"/>
    <xf numFmtId="44" fontId="12" fillId="3" borderId="7" xfId="2" applyFont="1" applyFill="1" applyBorder="1"/>
    <xf numFmtId="0" fontId="11" fillId="0" borderId="0" xfId="0" applyFont="1" applyFill="1" applyBorder="1" applyAlignment="1">
      <alignment horizontal="right"/>
    </xf>
    <xf numFmtId="44" fontId="11" fillId="3" borderId="3" xfId="2" applyFont="1" applyFill="1" applyBorder="1"/>
    <xf numFmtId="44" fontId="11" fillId="0" borderId="0" xfId="0" applyNumberFormat="1" applyFont="1"/>
    <xf numFmtId="44" fontId="0" fillId="3" borderId="3" xfId="2" applyFont="1" applyFill="1" applyBorder="1"/>
    <xf numFmtId="44" fontId="12" fillId="3" borderId="6" xfId="2" applyFont="1" applyFill="1" applyBorder="1"/>
    <xf numFmtId="0" fontId="12" fillId="0" borderId="8" xfId="0" applyFont="1" applyBorder="1"/>
    <xf numFmtId="0" fontId="13" fillId="0" borderId="0" xfId="0" applyFont="1"/>
    <xf numFmtId="44" fontId="14" fillId="3" borderId="3" xfId="2" applyFont="1" applyFill="1" applyBorder="1"/>
    <xf numFmtId="0" fontId="14" fillId="0" borderId="0" xfId="0" applyFont="1"/>
    <xf numFmtId="0" fontId="15" fillId="0" borderId="0" xfId="0" applyFont="1" applyFill="1"/>
    <xf numFmtId="44" fontId="15" fillId="3" borderId="3" xfId="2" applyFont="1" applyFill="1" applyBorder="1"/>
    <xf numFmtId="0" fontId="12" fillId="0" borderId="2" xfId="0" applyFont="1" applyFill="1" applyBorder="1"/>
    <xf numFmtId="0" fontId="13" fillId="0" borderId="0" xfId="0" applyFont="1" applyFill="1"/>
    <xf numFmtId="0" fontId="12" fillId="2" borderId="0" xfId="0" applyFont="1" applyFill="1"/>
    <xf numFmtId="0" fontId="14" fillId="0" borderId="0" xfId="0" applyFont="1" applyFill="1"/>
    <xf numFmtId="0" fontId="14" fillId="0" borderId="0" xfId="0" applyFont="1" applyAlignment="1">
      <alignment horizontal="right"/>
    </xf>
    <xf numFmtId="44" fontId="14" fillId="0" borderId="0" xfId="0" applyNumberFormat="1" applyFont="1"/>
    <xf numFmtId="0" fontId="11" fillId="0" borderId="0" xfId="0" applyFont="1" applyAlignment="1">
      <alignment horizontal="right"/>
    </xf>
    <xf numFmtId="44" fontId="11" fillId="3" borderId="6" xfId="2" applyFont="1" applyFill="1" applyBorder="1"/>
    <xf numFmtId="44" fontId="12" fillId="0" borderId="0" xfId="2" applyFont="1"/>
    <xf numFmtId="1" fontId="0" fillId="2" borderId="0" xfId="0" applyNumberFormat="1" applyFill="1"/>
    <xf numFmtId="1" fontId="0" fillId="0" borderId="0" xfId="0" applyNumberFormat="1"/>
    <xf numFmtId="1" fontId="2" fillId="0" borderId="0" xfId="0" applyNumberFormat="1" applyFont="1"/>
    <xf numFmtId="0" fontId="2" fillId="0" borderId="0" xfId="0" applyFont="1" applyFill="1"/>
    <xf numFmtId="1" fontId="2" fillId="0" borderId="0" xfId="0" applyNumberFormat="1" applyFont="1" applyFill="1"/>
    <xf numFmtId="1" fontId="0" fillId="0" borderId="0" xfId="0" applyNumberFormat="1" applyFill="1"/>
    <xf numFmtId="0" fontId="11" fillId="8" borderId="4" xfId="0" applyFont="1" applyFill="1" applyBorder="1"/>
    <xf numFmtId="0" fontId="12" fillId="8" borderId="1" xfId="0" applyFont="1" applyFill="1" applyBorder="1"/>
    <xf numFmtId="44" fontId="12" fillId="8" borderId="1" xfId="2" applyFont="1" applyFill="1" applyBorder="1"/>
    <xf numFmtId="44" fontId="12" fillId="8" borderId="7" xfId="2" applyFont="1" applyFill="1" applyBorder="1"/>
    <xf numFmtId="44" fontId="11" fillId="8" borderId="1" xfId="2" applyFont="1" applyFill="1" applyBorder="1"/>
    <xf numFmtId="44" fontId="0" fillId="8" borderId="1" xfId="2" applyFont="1" applyFill="1" applyBorder="1"/>
    <xf numFmtId="44" fontId="11" fillId="8" borderId="1" xfId="2" applyFont="1" applyFill="1" applyBorder="1" applyAlignment="1">
      <alignment horizontal="right"/>
    </xf>
    <xf numFmtId="44" fontId="14" fillId="8" borderId="1" xfId="2" applyFont="1" applyFill="1" applyBorder="1"/>
    <xf numFmtId="44" fontId="15" fillId="8" borderId="1" xfId="2" applyFont="1" applyFill="1" applyBorder="1"/>
    <xf numFmtId="44" fontId="11" fillId="8" borderId="7" xfId="2" applyFont="1" applyFill="1" applyBorder="1"/>
    <xf numFmtId="44" fontId="15" fillId="4" borderId="3" xfId="2" applyFont="1" applyFill="1" applyBorder="1"/>
    <xf numFmtId="44" fontId="12" fillId="4" borderId="3" xfId="2" applyFont="1" applyFill="1" applyBorder="1"/>
    <xf numFmtId="44" fontId="11" fillId="8" borderId="0" xfId="2" applyFont="1" applyFill="1" applyBorder="1"/>
    <xf numFmtId="44" fontId="11" fillId="3" borderId="0" xfId="2" applyFont="1" applyFill="1" applyBorder="1"/>
    <xf numFmtId="44" fontId="11" fillId="0" borderId="0" xfId="2" applyFont="1" applyFill="1" applyBorder="1"/>
    <xf numFmtId="44" fontId="11" fillId="4" borderId="1" xfId="2" applyFont="1" applyFill="1" applyBorder="1" applyAlignment="1">
      <alignment horizontal="right"/>
    </xf>
    <xf numFmtId="0" fontId="2" fillId="5" borderId="4" xfId="0" applyFont="1" applyFill="1" applyBorder="1"/>
    <xf numFmtId="0" fontId="0" fillId="5" borderId="1" xfId="0" applyFill="1" applyBorder="1"/>
    <xf numFmtId="44" fontId="0" fillId="4" borderId="3" xfId="2" applyFont="1" applyFill="1" applyBorder="1"/>
    <xf numFmtId="44" fontId="0" fillId="5" borderId="7" xfId="2" applyFont="1" applyFill="1" applyBorder="1"/>
    <xf numFmtId="44" fontId="0" fillId="3" borderId="6" xfId="2" applyFont="1" applyFill="1" applyBorder="1"/>
    <xf numFmtId="44" fontId="2" fillId="5" borderId="1" xfId="2" applyFont="1" applyFill="1" applyBorder="1" applyAlignment="1">
      <alignment horizontal="right"/>
    </xf>
    <xf numFmtId="44" fontId="2" fillId="3" borderId="3" xfId="2" applyFont="1" applyFill="1" applyBorder="1"/>
    <xf numFmtId="44" fontId="0" fillId="5" borderId="1" xfId="2" applyFont="1" applyFill="1" applyBorder="1" applyAlignment="1">
      <alignment horizontal="right"/>
    </xf>
    <xf numFmtId="44" fontId="0" fillId="5" borderId="7" xfId="2" applyFont="1" applyFill="1" applyBorder="1" applyAlignment="1">
      <alignment horizontal="right"/>
    </xf>
    <xf numFmtId="44" fontId="7" fillId="3" borderId="3" xfId="2" applyFont="1" applyFill="1" applyBorder="1"/>
    <xf numFmtId="44" fontId="2" fillId="5" borderId="7" xfId="2" applyFont="1" applyFill="1" applyBorder="1" applyAlignment="1">
      <alignment horizontal="right"/>
    </xf>
    <xf numFmtId="44" fontId="2" fillId="3" borderId="6" xfId="2" applyFont="1" applyFill="1" applyBorder="1"/>
    <xf numFmtId="0" fontId="11" fillId="6" borderId="5" xfId="0" applyFont="1" applyFill="1" applyBorder="1"/>
    <xf numFmtId="0" fontId="12" fillId="6" borderId="3" xfId="0" applyFont="1" applyFill="1" applyBorder="1"/>
    <xf numFmtId="44" fontId="12" fillId="6" borderId="3" xfId="2" applyFont="1" applyFill="1" applyBorder="1"/>
    <xf numFmtId="44" fontId="12" fillId="6" borderId="7" xfId="2" applyFont="1" applyFill="1" applyBorder="1"/>
    <xf numFmtId="44" fontId="11" fillId="6" borderId="3" xfId="2" applyFont="1" applyFill="1" applyBorder="1"/>
    <xf numFmtId="44" fontId="12" fillId="6" borderId="6" xfId="2" applyFont="1" applyFill="1" applyBorder="1"/>
    <xf numFmtId="44" fontId="14" fillId="6" borderId="3" xfId="2" applyFont="1" applyFill="1" applyBorder="1"/>
    <xf numFmtId="44" fontId="15" fillId="6" borderId="3" xfId="2" applyFont="1" applyFill="1" applyBorder="1"/>
    <xf numFmtId="44" fontId="11" fillId="6" borderId="6" xfId="2" applyFont="1" applyFill="1" applyBorder="1"/>
    <xf numFmtId="44" fontId="11" fillId="9" borderId="3" xfId="2" applyFont="1" applyFill="1" applyBorder="1"/>
    <xf numFmtId="44" fontId="11" fillId="9" borderId="1" xfId="2" applyFont="1" applyFill="1" applyBorder="1" applyAlignment="1">
      <alignment horizontal="right"/>
    </xf>
    <xf numFmtId="44" fontId="14" fillId="9" borderId="3" xfId="2" applyFont="1" applyFill="1" applyBorder="1"/>
    <xf numFmtId="0" fontId="12" fillId="10" borderId="0" xfId="0" applyFont="1" applyFill="1"/>
    <xf numFmtId="44" fontId="11" fillId="4" borderId="7" xfId="2" applyFont="1" applyFill="1" applyBorder="1"/>
    <xf numFmtId="44" fontId="11" fillId="9" borderId="7" xfId="2" applyFont="1" applyFill="1" applyBorder="1"/>
    <xf numFmtId="44" fontId="12" fillId="10" borderId="0" xfId="0" applyNumberFormat="1" applyFont="1" applyFill="1"/>
    <xf numFmtId="0" fontId="2" fillId="9" borderId="0" xfId="0" applyFont="1" applyFill="1" applyBorder="1"/>
    <xf numFmtId="0" fontId="0" fillId="9" borderId="0" xfId="0" applyFill="1" applyBorder="1"/>
    <xf numFmtId="44" fontId="0" fillId="9" borderId="0" xfId="2" applyFont="1" applyFill="1" applyBorder="1"/>
    <xf numFmtId="44" fontId="2" fillId="9" borderId="3" xfId="2" applyFont="1" applyFill="1" applyBorder="1"/>
    <xf numFmtId="44" fontId="2" fillId="9" borderId="0" xfId="2" applyFont="1" applyFill="1" applyBorder="1"/>
    <xf numFmtId="44" fontId="7" fillId="9" borderId="0" xfId="2" applyFont="1" applyFill="1" applyBorder="1"/>
    <xf numFmtId="44" fontId="2" fillId="9" borderId="6" xfId="2" applyFont="1" applyFill="1" applyBorder="1"/>
    <xf numFmtId="44" fontId="0" fillId="9" borderId="2" xfId="2" applyFont="1" applyFill="1" applyBorder="1"/>
    <xf numFmtId="0" fontId="11" fillId="9" borderId="5" xfId="0" applyFont="1" applyFill="1" applyBorder="1"/>
    <xf numFmtId="0" fontId="12" fillId="9" borderId="3" xfId="0" applyFont="1" applyFill="1" applyBorder="1"/>
    <xf numFmtId="44" fontId="12" fillId="9" borderId="3" xfId="2" applyFont="1" applyFill="1" applyBorder="1"/>
    <xf numFmtId="44" fontId="12" fillId="9" borderId="6" xfId="2" applyFont="1" applyFill="1" applyBorder="1"/>
    <xf numFmtId="44" fontId="15" fillId="9" borderId="3" xfId="2" applyFont="1" applyFill="1" applyBorder="1"/>
    <xf numFmtId="44" fontId="12" fillId="9" borderId="7" xfId="2" applyFont="1" applyFill="1" applyBorder="1"/>
    <xf numFmtId="44" fontId="11" fillId="8" borderId="8" xfId="2" applyFont="1" applyFill="1" applyBorder="1"/>
    <xf numFmtId="44" fontId="11" fillId="4" borderId="2" xfId="2" applyFont="1" applyFill="1" applyBorder="1"/>
    <xf numFmtId="44" fontId="11" fillId="9" borderId="6" xfId="2" applyFont="1" applyFill="1" applyBorder="1"/>
    <xf numFmtId="0" fontId="0" fillId="0" borderId="0" xfId="0" applyFont="1"/>
    <xf numFmtId="0" fontId="11" fillId="0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sqref="A1:XFD1048576"/>
    </sheetView>
  </sheetViews>
  <sheetFormatPr defaultRowHeight="15"/>
  <cols>
    <col min="1" max="1" width="36.7109375" customWidth="1"/>
    <col min="2" max="2" width="14.42578125" bestFit="1" customWidth="1"/>
    <col min="3" max="3" width="14.140625" bestFit="1" customWidth="1"/>
    <col min="4" max="4" width="11.28515625" customWidth="1"/>
  </cols>
  <sheetData>
    <row r="1" spans="1:4">
      <c r="A1" s="2" t="s">
        <v>15</v>
      </c>
    </row>
    <row r="2" spans="1:4">
      <c r="A2" s="2" t="s">
        <v>37</v>
      </c>
    </row>
    <row r="3" spans="1:4">
      <c r="A3" s="2" t="s">
        <v>32</v>
      </c>
    </row>
    <row r="4" spans="1:4">
      <c r="A4" s="14" t="s">
        <v>33</v>
      </c>
    </row>
    <row r="5" spans="1:4">
      <c r="A5" s="14" t="s">
        <v>35</v>
      </c>
    </row>
    <row r="6" spans="1:4">
      <c r="A6" s="14" t="s">
        <v>34</v>
      </c>
    </row>
    <row r="7" spans="1:4">
      <c r="A7" s="2" t="s">
        <v>24</v>
      </c>
    </row>
    <row r="8" spans="1:4">
      <c r="A8" s="2"/>
    </row>
    <row r="9" spans="1:4">
      <c r="B9" s="102" t="s">
        <v>16</v>
      </c>
      <c r="C9" s="12" t="s">
        <v>17</v>
      </c>
      <c r="D9" t="s">
        <v>0</v>
      </c>
    </row>
    <row r="10" spans="1:4">
      <c r="A10" s="2"/>
      <c r="B10" s="103"/>
      <c r="C10" s="11"/>
      <c r="D10" s="7"/>
    </row>
    <row r="11" spans="1:4">
      <c r="A11" s="2" t="s">
        <v>1</v>
      </c>
      <c r="B11" s="103"/>
      <c r="C11" s="11"/>
    </row>
    <row r="12" spans="1:4" s="3" customFormat="1">
      <c r="A12" s="3" t="s">
        <v>25</v>
      </c>
      <c r="B12" s="19">
        <v>2166</v>
      </c>
      <c r="C12" s="104">
        <v>3000</v>
      </c>
      <c r="D12" s="15" t="s">
        <v>197</v>
      </c>
    </row>
    <row r="13" spans="1:4" s="3" customFormat="1">
      <c r="A13" s="3" t="s">
        <v>2</v>
      </c>
      <c r="B13" s="19">
        <v>0</v>
      </c>
      <c r="C13" s="104">
        <v>3000</v>
      </c>
      <c r="D13" s="15" t="s">
        <v>198</v>
      </c>
    </row>
    <row r="14" spans="1:4">
      <c r="A14" t="s">
        <v>3</v>
      </c>
      <c r="B14" s="19">
        <v>734</v>
      </c>
      <c r="C14" s="63">
        <f>60*7*3</f>
        <v>1260</v>
      </c>
      <c r="D14" s="16" t="s">
        <v>18</v>
      </c>
    </row>
    <row r="15" spans="1:4">
      <c r="A15" t="s">
        <v>199</v>
      </c>
      <c r="B15" s="19">
        <v>0</v>
      </c>
      <c r="C15" s="63">
        <v>3500</v>
      </c>
      <c r="D15" s="16" t="s">
        <v>22</v>
      </c>
    </row>
    <row r="16" spans="1:4">
      <c r="A16" s="1" t="s">
        <v>4</v>
      </c>
      <c r="B16" s="105">
        <v>750</v>
      </c>
      <c r="C16" s="106">
        <f>150*2*16</f>
        <v>4800</v>
      </c>
      <c r="D16" s="16" t="s">
        <v>23</v>
      </c>
    </row>
    <row r="17" spans="1:6">
      <c r="A17" s="10" t="s">
        <v>5</v>
      </c>
      <c r="B17" s="107">
        <f>SUM(B12:B16)</f>
        <v>3650</v>
      </c>
      <c r="C17" s="108">
        <f>SUM(C12:C16)</f>
        <v>15560</v>
      </c>
      <c r="D17" s="62">
        <f>C17-B17</f>
        <v>11910</v>
      </c>
      <c r="E17" s="47" t="s">
        <v>50</v>
      </c>
    </row>
    <row r="18" spans="1:6">
      <c r="A18" s="2" t="s">
        <v>6</v>
      </c>
      <c r="B18" s="109"/>
      <c r="C18" s="63"/>
      <c r="D18" s="15"/>
    </row>
    <row r="19" spans="1:6">
      <c r="A19" t="s">
        <v>7</v>
      </c>
      <c r="B19" s="109">
        <f>540</f>
        <v>540</v>
      </c>
      <c r="C19" s="63">
        <v>1000</v>
      </c>
      <c r="D19" s="15" t="s">
        <v>201</v>
      </c>
    </row>
    <row r="20" spans="1:6">
      <c r="A20" t="s">
        <v>8</v>
      </c>
      <c r="B20" s="109">
        <v>0</v>
      </c>
      <c r="C20" s="63">
        <v>15000</v>
      </c>
      <c r="D20" s="15" t="s">
        <v>202</v>
      </c>
    </row>
    <row r="21" spans="1:6">
      <c r="A21" t="s">
        <v>20</v>
      </c>
      <c r="B21" s="109">
        <v>1680</v>
      </c>
      <c r="C21" s="63">
        <f>(80+160)*14</f>
        <v>3360</v>
      </c>
      <c r="D21" s="15" t="s">
        <v>203</v>
      </c>
    </row>
    <row r="22" spans="1:6">
      <c r="A22" s="1" t="s">
        <v>36</v>
      </c>
      <c r="B22" s="110">
        <v>150</v>
      </c>
      <c r="C22" s="106">
        <v>150</v>
      </c>
      <c r="D22" s="15"/>
    </row>
    <row r="23" spans="1:6">
      <c r="A23" s="9" t="s">
        <v>5</v>
      </c>
      <c r="B23" s="107">
        <f>SUM(B19:B22)</f>
        <v>2370</v>
      </c>
      <c r="C23" s="108">
        <f>SUM(C19:C22)</f>
        <v>19510</v>
      </c>
      <c r="D23" s="62">
        <f>C23-B23</f>
        <v>17140</v>
      </c>
      <c r="E23" s="47" t="s">
        <v>50</v>
      </c>
    </row>
    <row r="24" spans="1:6">
      <c r="A24" s="2" t="s">
        <v>9</v>
      </c>
      <c r="B24" s="109"/>
      <c r="C24" s="108"/>
      <c r="D24" s="15"/>
    </row>
    <row r="25" spans="1:6">
      <c r="A25" s="3" t="s">
        <v>10</v>
      </c>
      <c r="B25" s="109">
        <v>0</v>
      </c>
      <c r="C25" s="63">
        <v>0</v>
      </c>
      <c r="D25" s="15" t="s">
        <v>21</v>
      </c>
      <c r="F25" s="8"/>
    </row>
    <row r="26" spans="1:6">
      <c r="A26" s="3" t="s">
        <v>29</v>
      </c>
      <c r="B26" s="109">
        <v>350</v>
      </c>
      <c r="C26" s="63">
        <v>0</v>
      </c>
      <c r="D26" s="15" t="s">
        <v>30</v>
      </c>
      <c r="F26" s="8"/>
    </row>
    <row r="27" spans="1:6">
      <c r="A27" s="4" t="s">
        <v>11</v>
      </c>
      <c r="B27" s="110">
        <v>1690</v>
      </c>
      <c r="C27" s="106">
        <v>3000</v>
      </c>
      <c r="D27" s="17" t="s">
        <v>28</v>
      </c>
    </row>
    <row r="28" spans="1:6">
      <c r="A28" s="9" t="s">
        <v>5</v>
      </c>
      <c r="B28" s="107">
        <f>SUM(B25:B27)</f>
        <v>2040</v>
      </c>
      <c r="C28" s="111">
        <f>SUM(C25:C27)</f>
        <v>3000</v>
      </c>
      <c r="D28" s="62">
        <f>C28-B28</f>
        <v>960</v>
      </c>
      <c r="E28" s="47" t="s">
        <v>50</v>
      </c>
    </row>
    <row r="29" spans="1:6">
      <c r="A29" s="2" t="s">
        <v>12</v>
      </c>
      <c r="B29" s="109"/>
      <c r="C29" s="63"/>
      <c r="D29" s="15"/>
    </row>
    <row r="30" spans="1:6">
      <c r="A30" t="s">
        <v>13</v>
      </c>
      <c r="B30" s="109">
        <v>651</v>
      </c>
      <c r="C30" s="63">
        <v>500</v>
      </c>
      <c r="D30" s="16"/>
    </row>
    <row r="31" spans="1:6" s="3" customFormat="1">
      <c r="A31" s="3" t="s">
        <v>19</v>
      </c>
      <c r="B31" s="109">
        <v>194</v>
      </c>
      <c r="C31" s="104">
        <v>200</v>
      </c>
      <c r="D31" s="15" t="s">
        <v>31</v>
      </c>
    </row>
    <row r="32" spans="1:6">
      <c r="A32" s="1" t="s">
        <v>27</v>
      </c>
      <c r="B32" s="110">
        <v>5</v>
      </c>
      <c r="C32" s="106">
        <v>250</v>
      </c>
      <c r="D32" s="16"/>
    </row>
    <row r="33" spans="1:5">
      <c r="B33" s="107">
        <f>SUM(B30:B32)</f>
        <v>850</v>
      </c>
      <c r="C33" s="108">
        <f>SUM(C30:C32)</f>
        <v>950</v>
      </c>
      <c r="D33" s="62">
        <f>C33-B33</f>
        <v>100</v>
      </c>
      <c r="E33" s="47" t="s">
        <v>50</v>
      </c>
    </row>
    <row r="34" spans="1:5">
      <c r="B34" s="109"/>
      <c r="C34" s="63"/>
    </row>
    <row r="35" spans="1:5">
      <c r="A35" s="10" t="s">
        <v>14</v>
      </c>
      <c r="B35" s="112">
        <f>B17+B23+B28+B33</f>
        <v>8910</v>
      </c>
      <c r="C35" s="113">
        <f>C33+C28+C23+C17</f>
        <v>39020</v>
      </c>
      <c r="D35" s="62">
        <f>C35-B35</f>
        <v>30110</v>
      </c>
      <c r="E35" s="47" t="s">
        <v>50</v>
      </c>
    </row>
    <row r="37" spans="1:5">
      <c r="B37" s="5"/>
      <c r="C37" s="13"/>
      <c r="D37" s="5"/>
    </row>
    <row r="38" spans="1:5">
      <c r="A38" t="s">
        <v>26</v>
      </c>
      <c r="D38" s="8"/>
    </row>
  </sheetData>
  <phoneticPr fontId="6" type="noConversion"/>
  <pageMargins left="0" right="0" top="0.2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1"/>
  <sheetViews>
    <sheetView topLeftCell="F1" zoomScale="160" zoomScaleNormal="160" workbookViewId="0">
      <selection activeCell="P14" sqref="P14"/>
    </sheetView>
  </sheetViews>
  <sheetFormatPr defaultRowHeight="12.75"/>
  <cols>
    <col min="1" max="1" width="37.28515625" style="49" customWidth="1"/>
    <col min="2" max="2" width="13.28515625" style="49" customWidth="1"/>
    <col min="3" max="3" width="14.42578125" style="49" customWidth="1"/>
    <col min="4" max="4" width="12.85546875" style="49" customWidth="1"/>
    <col min="5" max="8" width="9.140625" style="49"/>
    <col min="9" max="9" width="10" style="49" bestFit="1" customWidth="1"/>
    <col min="10" max="10" width="19.42578125" style="49" bestFit="1" customWidth="1"/>
    <col min="11" max="11" width="11" style="49" bestFit="1" customWidth="1"/>
    <col min="12" max="12" width="11" style="49" customWidth="1"/>
    <col min="13" max="14" width="11" style="49" bestFit="1" customWidth="1"/>
    <col min="15" max="15" width="11.5703125" style="49" bestFit="1" customWidth="1"/>
    <col min="16" max="16" width="11" style="49" bestFit="1" customWidth="1"/>
    <col min="17" max="257" width="9.140625" style="49"/>
    <col min="258" max="258" width="37.28515625" style="49" customWidth="1"/>
    <col min="259" max="259" width="13.28515625" style="49" customWidth="1"/>
    <col min="260" max="260" width="14.42578125" style="49" customWidth="1"/>
    <col min="261" max="261" width="12.85546875" style="49" customWidth="1"/>
    <col min="262" max="265" width="9.140625" style="49"/>
    <col min="266" max="266" width="10" style="49" bestFit="1" customWidth="1"/>
    <col min="267" max="267" width="19.42578125" style="49" bestFit="1" customWidth="1"/>
    <col min="268" max="269" width="11" style="49" bestFit="1" customWidth="1"/>
    <col min="270" max="270" width="9.140625" style="49"/>
    <col min="271" max="271" width="11.5703125" style="49" bestFit="1" customWidth="1"/>
    <col min="272" max="513" width="9.140625" style="49"/>
    <col min="514" max="514" width="37.28515625" style="49" customWidth="1"/>
    <col min="515" max="515" width="13.28515625" style="49" customWidth="1"/>
    <col min="516" max="516" width="14.42578125" style="49" customWidth="1"/>
    <col min="517" max="517" width="12.85546875" style="49" customWidth="1"/>
    <col min="518" max="521" width="9.140625" style="49"/>
    <col min="522" max="522" width="10" style="49" bestFit="1" customWidth="1"/>
    <col min="523" max="523" width="19.42578125" style="49" bestFit="1" customWidth="1"/>
    <col min="524" max="525" width="11" style="49" bestFit="1" customWidth="1"/>
    <col min="526" max="526" width="9.140625" style="49"/>
    <col min="527" max="527" width="11.5703125" style="49" bestFit="1" customWidth="1"/>
    <col min="528" max="769" width="9.140625" style="49"/>
    <col min="770" max="770" width="37.28515625" style="49" customWidth="1"/>
    <col min="771" max="771" width="13.28515625" style="49" customWidth="1"/>
    <col min="772" max="772" width="14.42578125" style="49" customWidth="1"/>
    <col min="773" max="773" width="12.85546875" style="49" customWidth="1"/>
    <col min="774" max="777" width="9.140625" style="49"/>
    <col min="778" max="778" width="10" style="49" bestFit="1" customWidth="1"/>
    <col min="779" max="779" width="19.42578125" style="49" bestFit="1" customWidth="1"/>
    <col min="780" max="781" width="11" style="49" bestFit="1" customWidth="1"/>
    <col min="782" max="782" width="9.140625" style="49"/>
    <col min="783" max="783" width="11.5703125" style="49" bestFit="1" customWidth="1"/>
    <col min="784" max="1025" width="9.140625" style="49"/>
    <col min="1026" max="1026" width="37.28515625" style="49" customWidth="1"/>
    <col min="1027" max="1027" width="13.28515625" style="49" customWidth="1"/>
    <col min="1028" max="1028" width="14.42578125" style="49" customWidth="1"/>
    <col min="1029" max="1029" width="12.85546875" style="49" customWidth="1"/>
    <col min="1030" max="1033" width="9.140625" style="49"/>
    <col min="1034" max="1034" width="10" style="49" bestFit="1" customWidth="1"/>
    <col min="1035" max="1035" width="19.42578125" style="49" bestFit="1" customWidth="1"/>
    <col min="1036" max="1037" width="11" style="49" bestFit="1" customWidth="1"/>
    <col min="1038" max="1038" width="9.140625" style="49"/>
    <col min="1039" max="1039" width="11.5703125" style="49" bestFit="1" customWidth="1"/>
    <col min="1040" max="1281" width="9.140625" style="49"/>
    <col min="1282" max="1282" width="37.28515625" style="49" customWidth="1"/>
    <col min="1283" max="1283" width="13.28515625" style="49" customWidth="1"/>
    <col min="1284" max="1284" width="14.42578125" style="49" customWidth="1"/>
    <col min="1285" max="1285" width="12.85546875" style="49" customWidth="1"/>
    <col min="1286" max="1289" width="9.140625" style="49"/>
    <col min="1290" max="1290" width="10" style="49" bestFit="1" customWidth="1"/>
    <col min="1291" max="1291" width="19.42578125" style="49" bestFit="1" customWidth="1"/>
    <col min="1292" max="1293" width="11" style="49" bestFit="1" customWidth="1"/>
    <col min="1294" max="1294" width="9.140625" style="49"/>
    <col min="1295" max="1295" width="11.5703125" style="49" bestFit="1" customWidth="1"/>
    <col min="1296" max="1537" width="9.140625" style="49"/>
    <col min="1538" max="1538" width="37.28515625" style="49" customWidth="1"/>
    <col min="1539" max="1539" width="13.28515625" style="49" customWidth="1"/>
    <col min="1540" max="1540" width="14.42578125" style="49" customWidth="1"/>
    <col min="1541" max="1541" width="12.85546875" style="49" customWidth="1"/>
    <col min="1542" max="1545" width="9.140625" style="49"/>
    <col min="1546" max="1546" width="10" style="49" bestFit="1" customWidth="1"/>
    <col min="1547" max="1547" width="19.42578125" style="49" bestFit="1" customWidth="1"/>
    <col min="1548" max="1549" width="11" style="49" bestFit="1" customWidth="1"/>
    <col min="1550" max="1550" width="9.140625" style="49"/>
    <col min="1551" max="1551" width="11.5703125" style="49" bestFit="1" customWidth="1"/>
    <col min="1552" max="1793" width="9.140625" style="49"/>
    <col min="1794" max="1794" width="37.28515625" style="49" customWidth="1"/>
    <col min="1795" max="1795" width="13.28515625" style="49" customWidth="1"/>
    <col min="1796" max="1796" width="14.42578125" style="49" customWidth="1"/>
    <col min="1797" max="1797" width="12.85546875" style="49" customWidth="1"/>
    <col min="1798" max="1801" width="9.140625" style="49"/>
    <col min="1802" max="1802" width="10" style="49" bestFit="1" customWidth="1"/>
    <col min="1803" max="1803" width="19.42578125" style="49" bestFit="1" customWidth="1"/>
    <col min="1804" max="1805" width="11" style="49" bestFit="1" customWidth="1"/>
    <col min="1806" max="1806" width="9.140625" style="49"/>
    <col min="1807" max="1807" width="11.5703125" style="49" bestFit="1" customWidth="1"/>
    <col min="1808" max="2049" width="9.140625" style="49"/>
    <col min="2050" max="2050" width="37.28515625" style="49" customWidth="1"/>
    <col min="2051" max="2051" width="13.28515625" style="49" customWidth="1"/>
    <col min="2052" max="2052" width="14.42578125" style="49" customWidth="1"/>
    <col min="2053" max="2053" width="12.85546875" style="49" customWidth="1"/>
    <col min="2054" max="2057" width="9.140625" style="49"/>
    <col min="2058" max="2058" width="10" style="49" bestFit="1" customWidth="1"/>
    <col min="2059" max="2059" width="19.42578125" style="49" bestFit="1" customWidth="1"/>
    <col min="2060" max="2061" width="11" style="49" bestFit="1" customWidth="1"/>
    <col min="2062" max="2062" width="9.140625" style="49"/>
    <col min="2063" max="2063" width="11.5703125" style="49" bestFit="1" customWidth="1"/>
    <col min="2064" max="2305" width="9.140625" style="49"/>
    <col min="2306" max="2306" width="37.28515625" style="49" customWidth="1"/>
    <col min="2307" max="2307" width="13.28515625" style="49" customWidth="1"/>
    <col min="2308" max="2308" width="14.42578125" style="49" customWidth="1"/>
    <col min="2309" max="2309" width="12.85546875" style="49" customWidth="1"/>
    <col min="2310" max="2313" width="9.140625" style="49"/>
    <col min="2314" max="2314" width="10" style="49" bestFit="1" customWidth="1"/>
    <col min="2315" max="2315" width="19.42578125" style="49" bestFit="1" customWidth="1"/>
    <col min="2316" max="2317" width="11" style="49" bestFit="1" customWidth="1"/>
    <col min="2318" max="2318" width="9.140625" style="49"/>
    <col min="2319" max="2319" width="11.5703125" style="49" bestFit="1" customWidth="1"/>
    <col min="2320" max="2561" width="9.140625" style="49"/>
    <col min="2562" max="2562" width="37.28515625" style="49" customWidth="1"/>
    <col min="2563" max="2563" width="13.28515625" style="49" customWidth="1"/>
    <col min="2564" max="2564" width="14.42578125" style="49" customWidth="1"/>
    <col min="2565" max="2565" width="12.85546875" style="49" customWidth="1"/>
    <col min="2566" max="2569" width="9.140625" style="49"/>
    <col min="2570" max="2570" width="10" style="49" bestFit="1" customWidth="1"/>
    <col min="2571" max="2571" width="19.42578125" style="49" bestFit="1" customWidth="1"/>
    <col min="2572" max="2573" width="11" style="49" bestFit="1" customWidth="1"/>
    <col min="2574" max="2574" width="9.140625" style="49"/>
    <col min="2575" max="2575" width="11.5703125" style="49" bestFit="1" customWidth="1"/>
    <col min="2576" max="2817" width="9.140625" style="49"/>
    <col min="2818" max="2818" width="37.28515625" style="49" customWidth="1"/>
    <col min="2819" max="2819" width="13.28515625" style="49" customWidth="1"/>
    <col min="2820" max="2820" width="14.42578125" style="49" customWidth="1"/>
    <col min="2821" max="2821" width="12.85546875" style="49" customWidth="1"/>
    <col min="2822" max="2825" width="9.140625" style="49"/>
    <col min="2826" max="2826" width="10" style="49" bestFit="1" customWidth="1"/>
    <col min="2827" max="2827" width="19.42578125" style="49" bestFit="1" customWidth="1"/>
    <col min="2828" max="2829" width="11" style="49" bestFit="1" customWidth="1"/>
    <col min="2830" max="2830" width="9.140625" style="49"/>
    <col min="2831" max="2831" width="11.5703125" style="49" bestFit="1" customWidth="1"/>
    <col min="2832" max="3073" width="9.140625" style="49"/>
    <col min="3074" max="3074" width="37.28515625" style="49" customWidth="1"/>
    <col min="3075" max="3075" width="13.28515625" style="49" customWidth="1"/>
    <col min="3076" max="3076" width="14.42578125" style="49" customWidth="1"/>
    <col min="3077" max="3077" width="12.85546875" style="49" customWidth="1"/>
    <col min="3078" max="3081" width="9.140625" style="49"/>
    <col min="3082" max="3082" width="10" style="49" bestFit="1" customWidth="1"/>
    <col min="3083" max="3083" width="19.42578125" style="49" bestFit="1" customWidth="1"/>
    <col min="3084" max="3085" width="11" style="49" bestFit="1" customWidth="1"/>
    <col min="3086" max="3086" width="9.140625" style="49"/>
    <col min="3087" max="3087" width="11.5703125" style="49" bestFit="1" customWidth="1"/>
    <col min="3088" max="3329" width="9.140625" style="49"/>
    <col min="3330" max="3330" width="37.28515625" style="49" customWidth="1"/>
    <col min="3331" max="3331" width="13.28515625" style="49" customWidth="1"/>
    <col min="3332" max="3332" width="14.42578125" style="49" customWidth="1"/>
    <col min="3333" max="3333" width="12.85546875" style="49" customWidth="1"/>
    <col min="3334" max="3337" width="9.140625" style="49"/>
    <col min="3338" max="3338" width="10" style="49" bestFit="1" customWidth="1"/>
    <col min="3339" max="3339" width="19.42578125" style="49" bestFit="1" customWidth="1"/>
    <col min="3340" max="3341" width="11" style="49" bestFit="1" customWidth="1"/>
    <col min="3342" max="3342" width="9.140625" style="49"/>
    <col min="3343" max="3343" width="11.5703125" style="49" bestFit="1" customWidth="1"/>
    <col min="3344" max="3585" width="9.140625" style="49"/>
    <col min="3586" max="3586" width="37.28515625" style="49" customWidth="1"/>
    <col min="3587" max="3587" width="13.28515625" style="49" customWidth="1"/>
    <col min="3588" max="3588" width="14.42578125" style="49" customWidth="1"/>
    <col min="3589" max="3589" width="12.85546875" style="49" customWidth="1"/>
    <col min="3590" max="3593" width="9.140625" style="49"/>
    <col min="3594" max="3594" width="10" style="49" bestFit="1" customWidth="1"/>
    <col min="3595" max="3595" width="19.42578125" style="49" bestFit="1" customWidth="1"/>
    <col min="3596" max="3597" width="11" style="49" bestFit="1" customWidth="1"/>
    <col min="3598" max="3598" width="9.140625" style="49"/>
    <col min="3599" max="3599" width="11.5703125" style="49" bestFit="1" customWidth="1"/>
    <col min="3600" max="3841" width="9.140625" style="49"/>
    <col min="3842" max="3842" width="37.28515625" style="49" customWidth="1"/>
    <col min="3843" max="3843" width="13.28515625" style="49" customWidth="1"/>
    <col min="3844" max="3844" width="14.42578125" style="49" customWidth="1"/>
    <col min="3845" max="3845" width="12.85546875" style="49" customWidth="1"/>
    <col min="3846" max="3849" width="9.140625" style="49"/>
    <col min="3850" max="3850" width="10" style="49" bestFit="1" customWidth="1"/>
    <col min="3851" max="3851" width="19.42578125" style="49" bestFit="1" customWidth="1"/>
    <col min="3852" max="3853" width="11" style="49" bestFit="1" customWidth="1"/>
    <col min="3854" max="3854" width="9.140625" style="49"/>
    <col min="3855" max="3855" width="11.5703125" style="49" bestFit="1" customWidth="1"/>
    <col min="3856" max="4097" width="9.140625" style="49"/>
    <col min="4098" max="4098" width="37.28515625" style="49" customWidth="1"/>
    <col min="4099" max="4099" width="13.28515625" style="49" customWidth="1"/>
    <col min="4100" max="4100" width="14.42578125" style="49" customWidth="1"/>
    <col min="4101" max="4101" width="12.85546875" style="49" customWidth="1"/>
    <col min="4102" max="4105" width="9.140625" style="49"/>
    <col min="4106" max="4106" width="10" style="49" bestFit="1" customWidth="1"/>
    <col min="4107" max="4107" width="19.42578125" style="49" bestFit="1" customWidth="1"/>
    <col min="4108" max="4109" width="11" style="49" bestFit="1" customWidth="1"/>
    <col min="4110" max="4110" width="9.140625" style="49"/>
    <col min="4111" max="4111" width="11.5703125" style="49" bestFit="1" customWidth="1"/>
    <col min="4112" max="4353" width="9.140625" style="49"/>
    <col min="4354" max="4354" width="37.28515625" style="49" customWidth="1"/>
    <col min="4355" max="4355" width="13.28515625" style="49" customWidth="1"/>
    <col min="4356" max="4356" width="14.42578125" style="49" customWidth="1"/>
    <col min="4357" max="4357" width="12.85546875" style="49" customWidth="1"/>
    <col min="4358" max="4361" width="9.140625" style="49"/>
    <col min="4362" max="4362" width="10" style="49" bestFit="1" customWidth="1"/>
    <col min="4363" max="4363" width="19.42578125" style="49" bestFit="1" customWidth="1"/>
    <col min="4364" max="4365" width="11" style="49" bestFit="1" customWidth="1"/>
    <col min="4366" max="4366" width="9.140625" style="49"/>
    <col min="4367" max="4367" width="11.5703125" style="49" bestFit="1" customWidth="1"/>
    <col min="4368" max="4609" width="9.140625" style="49"/>
    <col min="4610" max="4610" width="37.28515625" style="49" customWidth="1"/>
    <col min="4611" max="4611" width="13.28515625" style="49" customWidth="1"/>
    <col min="4612" max="4612" width="14.42578125" style="49" customWidth="1"/>
    <col min="4613" max="4613" width="12.85546875" style="49" customWidth="1"/>
    <col min="4614" max="4617" width="9.140625" style="49"/>
    <col min="4618" max="4618" width="10" style="49" bestFit="1" customWidth="1"/>
    <col min="4619" max="4619" width="19.42578125" style="49" bestFit="1" customWidth="1"/>
    <col min="4620" max="4621" width="11" style="49" bestFit="1" customWidth="1"/>
    <col min="4622" max="4622" width="9.140625" style="49"/>
    <col min="4623" max="4623" width="11.5703125" style="49" bestFit="1" customWidth="1"/>
    <col min="4624" max="4865" width="9.140625" style="49"/>
    <col min="4866" max="4866" width="37.28515625" style="49" customWidth="1"/>
    <col min="4867" max="4867" width="13.28515625" style="49" customWidth="1"/>
    <col min="4868" max="4868" width="14.42578125" style="49" customWidth="1"/>
    <col min="4869" max="4869" width="12.85546875" style="49" customWidth="1"/>
    <col min="4870" max="4873" width="9.140625" style="49"/>
    <col min="4874" max="4874" width="10" style="49" bestFit="1" customWidth="1"/>
    <col min="4875" max="4875" width="19.42578125" style="49" bestFit="1" customWidth="1"/>
    <col min="4876" max="4877" width="11" style="49" bestFit="1" customWidth="1"/>
    <col min="4878" max="4878" width="9.140625" style="49"/>
    <col min="4879" max="4879" width="11.5703125" style="49" bestFit="1" customWidth="1"/>
    <col min="4880" max="5121" width="9.140625" style="49"/>
    <col min="5122" max="5122" width="37.28515625" style="49" customWidth="1"/>
    <col min="5123" max="5123" width="13.28515625" style="49" customWidth="1"/>
    <col min="5124" max="5124" width="14.42578125" style="49" customWidth="1"/>
    <col min="5125" max="5125" width="12.85546875" style="49" customWidth="1"/>
    <col min="5126" max="5129" width="9.140625" style="49"/>
    <col min="5130" max="5130" width="10" style="49" bestFit="1" customWidth="1"/>
    <col min="5131" max="5131" width="19.42578125" style="49" bestFit="1" customWidth="1"/>
    <col min="5132" max="5133" width="11" style="49" bestFit="1" customWidth="1"/>
    <col min="5134" max="5134" width="9.140625" style="49"/>
    <col min="5135" max="5135" width="11.5703125" style="49" bestFit="1" customWidth="1"/>
    <col min="5136" max="5377" width="9.140625" style="49"/>
    <col min="5378" max="5378" width="37.28515625" style="49" customWidth="1"/>
    <col min="5379" max="5379" width="13.28515625" style="49" customWidth="1"/>
    <col min="5380" max="5380" width="14.42578125" style="49" customWidth="1"/>
    <col min="5381" max="5381" width="12.85546875" style="49" customWidth="1"/>
    <col min="5382" max="5385" width="9.140625" style="49"/>
    <col min="5386" max="5386" width="10" style="49" bestFit="1" customWidth="1"/>
    <col min="5387" max="5387" width="19.42578125" style="49" bestFit="1" customWidth="1"/>
    <col min="5388" max="5389" width="11" style="49" bestFit="1" customWidth="1"/>
    <col min="5390" max="5390" width="9.140625" style="49"/>
    <col min="5391" max="5391" width="11.5703125" style="49" bestFit="1" customWidth="1"/>
    <col min="5392" max="5633" width="9.140625" style="49"/>
    <col min="5634" max="5634" width="37.28515625" style="49" customWidth="1"/>
    <col min="5635" max="5635" width="13.28515625" style="49" customWidth="1"/>
    <col min="5636" max="5636" width="14.42578125" style="49" customWidth="1"/>
    <col min="5637" max="5637" width="12.85546875" style="49" customWidth="1"/>
    <col min="5638" max="5641" width="9.140625" style="49"/>
    <col min="5642" max="5642" width="10" style="49" bestFit="1" customWidth="1"/>
    <col min="5643" max="5643" width="19.42578125" style="49" bestFit="1" customWidth="1"/>
    <col min="5644" max="5645" width="11" style="49" bestFit="1" customWidth="1"/>
    <col min="5646" max="5646" width="9.140625" style="49"/>
    <col min="5647" max="5647" width="11.5703125" style="49" bestFit="1" customWidth="1"/>
    <col min="5648" max="5889" width="9.140625" style="49"/>
    <col min="5890" max="5890" width="37.28515625" style="49" customWidth="1"/>
    <col min="5891" max="5891" width="13.28515625" style="49" customWidth="1"/>
    <col min="5892" max="5892" width="14.42578125" style="49" customWidth="1"/>
    <col min="5893" max="5893" width="12.85546875" style="49" customWidth="1"/>
    <col min="5894" max="5897" width="9.140625" style="49"/>
    <col min="5898" max="5898" width="10" style="49" bestFit="1" customWidth="1"/>
    <col min="5899" max="5899" width="19.42578125" style="49" bestFit="1" customWidth="1"/>
    <col min="5900" max="5901" width="11" style="49" bestFit="1" customWidth="1"/>
    <col min="5902" max="5902" width="9.140625" style="49"/>
    <col min="5903" max="5903" width="11.5703125" style="49" bestFit="1" customWidth="1"/>
    <col min="5904" max="6145" width="9.140625" style="49"/>
    <col min="6146" max="6146" width="37.28515625" style="49" customWidth="1"/>
    <col min="6147" max="6147" width="13.28515625" style="49" customWidth="1"/>
    <col min="6148" max="6148" width="14.42578125" style="49" customWidth="1"/>
    <col min="6149" max="6149" width="12.85546875" style="49" customWidth="1"/>
    <col min="6150" max="6153" width="9.140625" style="49"/>
    <col min="6154" max="6154" width="10" style="49" bestFit="1" customWidth="1"/>
    <col min="6155" max="6155" width="19.42578125" style="49" bestFit="1" customWidth="1"/>
    <col min="6156" max="6157" width="11" style="49" bestFit="1" customWidth="1"/>
    <col min="6158" max="6158" width="9.140625" style="49"/>
    <col min="6159" max="6159" width="11.5703125" style="49" bestFit="1" customWidth="1"/>
    <col min="6160" max="6401" width="9.140625" style="49"/>
    <col min="6402" max="6402" width="37.28515625" style="49" customWidth="1"/>
    <col min="6403" max="6403" width="13.28515625" style="49" customWidth="1"/>
    <col min="6404" max="6404" width="14.42578125" style="49" customWidth="1"/>
    <col min="6405" max="6405" width="12.85546875" style="49" customWidth="1"/>
    <col min="6406" max="6409" width="9.140625" style="49"/>
    <col min="6410" max="6410" width="10" style="49" bestFit="1" customWidth="1"/>
    <col min="6411" max="6411" width="19.42578125" style="49" bestFit="1" customWidth="1"/>
    <col min="6412" max="6413" width="11" style="49" bestFit="1" customWidth="1"/>
    <col min="6414" max="6414" width="9.140625" style="49"/>
    <col min="6415" max="6415" width="11.5703125" style="49" bestFit="1" customWidth="1"/>
    <col min="6416" max="6657" width="9.140625" style="49"/>
    <col min="6658" max="6658" width="37.28515625" style="49" customWidth="1"/>
    <col min="6659" max="6659" width="13.28515625" style="49" customWidth="1"/>
    <col min="6660" max="6660" width="14.42578125" style="49" customWidth="1"/>
    <col min="6661" max="6661" width="12.85546875" style="49" customWidth="1"/>
    <col min="6662" max="6665" width="9.140625" style="49"/>
    <col min="6666" max="6666" width="10" style="49" bestFit="1" customWidth="1"/>
    <col min="6667" max="6667" width="19.42578125" style="49" bestFit="1" customWidth="1"/>
    <col min="6668" max="6669" width="11" style="49" bestFit="1" customWidth="1"/>
    <col min="6670" max="6670" width="9.140625" style="49"/>
    <col min="6671" max="6671" width="11.5703125" style="49" bestFit="1" customWidth="1"/>
    <col min="6672" max="6913" width="9.140625" style="49"/>
    <col min="6914" max="6914" width="37.28515625" style="49" customWidth="1"/>
    <col min="6915" max="6915" width="13.28515625" style="49" customWidth="1"/>
    <col min="6916" max="6916" width="14.42578125" style="49" customWidth="1"/>
    <col min="6917" max="6917" width="12.85546875" style="49" customWidth="1"/>
    <col min="6918" max="6921" width="9.140625" style="49"/>
    <col min="6922" max="6922" width="10" style="49" bestFit="1" customWidth="1"/>
    <col min="6923" max="6923" width="19.42578125" style="49" bestFit="1" customWidth="1"/>
    <col min="6924" max="6925" width="11" style="49" bestFit="1" customWidth="1"/>
    <col min="6926" max="6926" width="9.140625" style="49"/>
    <col min="6927" max="6927" width="11.5703125" style="49" bestFit="1" customWidth="1"/>
    <col min="6928" max="7169" width="9.140625" style="49"/>
    <col min="7170" max="7170" width="37.28515625" style="49" customWidth="1"/>
    <col min="7171" max="7171" width="13.28515625" style="49" customWidth="1"/>
    <col min="7172" max="7172" width="14.42578125" style="49" customWidth="1"/>
    <col min="7173" max="7173" width="12.85546875" style="49" customWidth="1"/>
    <col min="7174" max="7177" width="9.140625" style="49"/>
    <col min="7178" max="7178" width="10" style="49" bestFit="1" customWidth="1"/>
    <col min="7179" max="7179" width="19.42578125" style="49" bestFit="1" customWidth="1"/>
    <col min="7180" max="7181" width="11" style="49" bestFit="1" customWidth="1"/>
    <col min="7182" max="7182" width="9.140625" style="49"/>
    <col min="7183" max="7183" width="11.5703125" style="49" bestFit="1" customWidth="1"/>
    <col min="7184" max="7425" width="9.140625" style="49"/>
    <col min="7426" max="7426" width="37.28515625" style="49" customWidth="1"/>
    <col min="7427" max="7427" width="13.28515625" style="49" customWidth="1"/>
    <col min="7428" max="7428" width="14.42578125" style="49" customWidth="1"/>
    <col min="7429" max="7429" width="12.85546875" style="49" customWidth="1"/>
    <col min="7430" max="7433" width="9.140625" style="49"/>
    <col min="7434" max="7434" width="10" style="49" bestFit="1" customWidth="1"/>
    <col min="7435" max="7435" width="19.42578125" style="49" bestFit="1" customWidth="1"/>
    <col min="7436" max="7437" width="11" style="49" bestFit="1" customWidth="1"/>
    <col min="7438" max="7438" width="9.140625" style="49"/>
    <col min="7439" max="7439" width="11.5703125" style="49" bestFit="1" customWidth="1"/>
    <col min="7440" max="7681" width="9.140625" style="49"/>
    <col min="7682" max="7682" width="37.28515625" style="49" customWidth="1"/>
    <col min="7683" max="7683" width="13.28515625" style="49" customWidth="1"/>
    <col min="7684" max="7684" width="14.42578125" style="49" customWidth="1"/>
    <col min="7685" max="7685" width="12.85546875" style="49" customWidth="1"/>
    <col min="7686" max="7689" width="9.140625" style="49"/>
    <col min="7690" max="7690" width="10" style="49" bestFit="1" customWidth="1"/>
    <col min="7691" max="7691" width="19.42578125" style="49" bestFit="1" customWidth="1"/>
    <col min="7692" max="7693" width="11" style="49" bestFit="1" customWidth="1"/>
    <col min="7694" max="7694" width="9.140625" style="49"/>
    <col min="7695" max="7695" width="11.5703125" style="49" bestFit="1" customWidth="1"/>
    <col min="7696" max="7937" width="9.140625" style="49"/>
    <col min="7938" max="7938" width="37.28515625" style="49" customWidth="1"/>
    <col min="7939" max="7939" width="13.28515625" style="49" customWidth="1"/>
    <col min="7940" max="7940" width="14.42578125" style="49" customWidth="1"/>
    <col min="7941" max="7941" width="12.85546875" style="49" customWidth="1"/>
    <col min="7942" max="7945" width="9.140625" style="49"/>
    <col min="7946" max="7946" width="10" style="49" bestFit="1" customWidth="1"/>
    <col min="7947" max="7947" width="19.42578125" style="49" bestFit="1" customWidth="1"/>
    <col min="7948" max="7949" width="11" style="49" bestFit="1" customWidth="1"/>
    <col min="7950" max="7950" width="9.140625" style="49"/>
    <col min="7951" max="7951" width="11.5703125" style="49" bestFit="1" customWidth="1"/>
    <col min="7952" max="8193" width="9.140625" style="49"/>
    <col min="8194" max="8194" width="37.28515625" style="49" customWidth="1"/>
    <col min="8195" max="8195" width="13.28515625" style="49" customWidth="1"/>
    <col min="8196" max="8196" width="14.42578125" style="49" customWidth="1"/>
    <col min="8197" max="8197" width="12.85546875" style="49" customWidth="1"/>
    <col min="8198" max="8201" width="9.140625" style="49"/>
    <col min="8202" max="8202" width="10" style="49" bestFit="1" customWidth="1"/>
    <col min="8203" max="8203" width="19.42578125" style="49" bestFit="1" customWidth="1"/>
    <col min="8204" max="8205" width="11" style="49" bestFit="1" customWidth="1"/>
    <col min="8206" max="8206" width="9.140625" style="49"/>
    <col min="8207" max="8207" width="11.5703125" style="49" bestFit="1" customWidth="1"/>
    <col min="8208" max="8449" width="9.140625" style="49"/>
    <col min="8450" max="8450" width="37.28515625" style="49" customWidth="1"/>
    <col min="8451" max="8451" width="13.28515625" style="49" customWidth="1"/>
    <col min="8452" max="8452" width="14.42578125" style="49" customWidth="1"/>
    <col min="8453" max="8453" width="12.85546875" style="49" customWidth="1"/>
    <col min="8454" max="8457" width="9.140625" style="49"/>
    <col min="8458" max="8458" width="10" style="49" bestFit="1" customWidth="1"/>
    <col min="8459" max="8459" width="19.42578125" style="49" bestFit="1" customWidth="1"/>
    <col min="8460" max="8461" width="11" style="49" bestFit="1" customWidth="1"/>
    <col min="8462" max="8462" width="9.140625" style="49"/>
    <col min="8463" max="8463" width="11.5703125" style="49" bestFit="1" customWidth="1"/>
    <col min="8464" max="8705" width="9.140625" style="49"/>
    <col min="8706" max="8706" width="37.28515625" style="49" customWidth="1"/>
    <col min="8707" max="8707" width="13.28515625" style="49" customWidth="1"/>
    <col min="8708" max="8708" width="14.42578125" style="49" customWidth="1"/>
    <col min="8709" max="8709" width="12.85546875" style="49" customWidth="1"/>
    <col min="8710" max="8713" width="9.140625" style="49"/>
    <col min="8714" max="8714" width="10" style="49" bestFit="1" customWidth="1"/>
    <col min="8715" max="8715" width="19.42578125" style="49" bestFit="1" customWidth="1"/>
    <col min="8716" max="8717" width="11" style="49" bestFit="1" customWidth="1"/>
    <col min="8718" max="8718" width="9.140625" style="49"/>
    <col min="8719" max="8719" width="11.5703125" style="49" bestFit="1" customWidth="1"/>
    <col min="8720" max="8961" width="9.140625" style="49"/>
    <col min="8962" max="8962" width="37.28515625" style="49" customWidth="1"/>
    <col min="8963" max="8963" width="13.28515625" style="49" customWidth="1"/>
    <col min="8964" max="8964" width="14.42578125" style="49" customWidth="1"/>
    <col min="8965" max="8965" width="12.85546875" style="49" customWidth="1"/>
    <col min="8966" max="8969" width="9.140625" style="49"/>
    <col min="8970" max="8970" width="10" style="49" bestFit="1" customWidth="1"/>
    <col min="8971" max="8971" width="19.42578125" style="49" bestFit="1" customWidth="1"/>
    <col min="8972" max="8973" width="11" style="49" bestFit="1" customWidth="1"/>
    <col min="8974" max="8974" width="9.140625" style="49"/>
    <col min="8975" max="8975" width="11.5703125" style="49" bestFit="1" customWidth="1"/>
    <col min="8976" max="9217" width="9.140625" style="49"/>
    <col min="9218" max="9218" width="37.28515625" style="49" customWidth="1"/>
    <col min="9219" max="9219" width="13.28515625" style="49" customWidth="1"/>
    <col min="9220" max="9220" width="14.42578125" style="49" customWidth="1"/>
    <col min="9221" max="9221" width="12.85546875" style="49" customWidth="1"/>
    <col min="9222" max="9225" width="9.140625" style="49"/>
    <col min="9226" max="9226" width="10" style="49" bestFit="1" customWidth="1"/>
    <col min="9227" max="9227" width="19.42578125" style="49" bestFit="1" customWidth="1"/>
    <col min="9228" max="9229" width="11" style="49" bestFit="1" customWidth="1"/>
    <col min="9230" max="9230" width="9.140625" style="49"/>
    <col min="9231" max="9231" width="11.5703125" style="49" bestFit="1" customWidth="1"/>
    <col min="9232" max="9473" width="9.140625" style="49"/>
    <col min="9474" max="9474" width="37.28515625" style="49" customWidth="1"/>
    <col min="9475" max="9475" width="13.28515625" style="49" customWidth="1"/>
    <col min="9476" max="9476" width="14.42578125" style="49" customWidth="1"/>
    <col min="9477" max="9477" width="12.85546875" style="49" customWidth="1"/>
    <col min="9478" max="9481" width="9.140625" style="49"/>
    <col min="9482" max="9482" width="10" style="49" bestFit="1" customWidth="1"/>
    <col min="9483" max="9483" width="19.42578125" style="49" bestFit="1" customWidth="1"/>
    <col min="9484" max="9485" width="11" style="49" bestFit="1" customWidth="1"/>
    <col min="9486" max="9486" width="9.140625" style="49"/>
    <col min="9487" max="9487" width="11.5703125" style="49" bestFit="1" customWidth="1"/>
    <col min="9488" max="9729" width="9.140625" style="49"/>
    <col min="9730" max="9730" width="37.28515625" style="49" customWidth="1"/>
    <col min="9731" max="9731" width="13.28515625" style="49" customWidth="1"/>
    <col min="9732" max="9732" width="14.42578125" style="49" customWidth="1"/>
    <col min="9733" max="9733" width="12.85546875" style="49" customWidth="1"/>
    <col min="9734" max="9737" width="9.140625" style="49"/>
    <col min="9738" max="9738" width="10" style="49" bestFit="1" customWidth="1"/>
    <col min="9739" max="9739" width="19.42578125" style="49" bestFit="1" customWidth="1"/>
    <col min="9740" max="9741" width="11" style="49" bestFit="1" customWidth="1"/>
    <col min="9742" max="9742" width="9.140625" style="49"/>
    <col min="9743" max="9743" width="11.5703125" style="49" bestFit="1" customWidth="1"/>
    <col min="9744" max="9985" width="9.140625" style="49"/>
    <col min="9986" max="9986" width="37.28515625" style="49" customWidth="1"/>
    <col min="9987" max="9987" width="13.28515625" style="49" customWidth="1"/>
    <col min="9988" max="9988" width="14.42578125" style="49" customWidth="1"/>
    <col min="9989" max="9989" width="12.85546875" style="49" customWidth="1"/>
    <col min="9990" max="9993" width="9.140625" style="49"/>
    <col min="9994" max="9994" width="10" style="49" bestFit="1" customWidth="1"/>
    <col min="9995" max="9995" width="19.42578125" style="49" bestFit="1" customWidth="1"/>
    <col min="9996" max="9997" width="11" style="49" bestFit="1" customWidth="1"/>
    <col min="9998" max="9998" width="9.140625" style="49"/>
    <col min="9999" max="9999" width="11.5703125" style="49" bestFit="1" customWidth="1"/>
    <col min="10000" max="10241" width="9.140625" style="49"/>
    <col min="10242" max="10242" width="37.28515625" style="49" customWidth="1"/>
    <col min="10243" max="10243" width="13.28515625" style="49" customWidth="1"/>
    <col min="10244" max="10244" width="14.42578125" style="49" customWidth="1"/>
    <col min="10245" max="10245" width="12.85546875" style="49" customWidth="1"/>
    <col min="10246" max="10249" width="9.140625" style="49"/>
    <col min="10250" max="10250" width="10" style="49" bestFit="1" customWidth="1"/>
    <col min="10251" max="10251" width="19.42578125" style="49" bestFit="1" customWidth="1"/>
    <col min="10252" max="10253" width="11" style="49" bestFit="1" customWidth="1"/>
    <col min="10254" max="10254" width="9.140625" style="49"/>
    <col min="10255" max="10255" width="11.5703125" style="49" bestFit="1" customWidth="1"/>
    <col min="10256" max="10497" width="9.140625" style="49"/>
    <col min="10498" max="10498" width="37.28515625" style="49" customWidth="1"/>
    <col min="10499" max="10499" width="13.28515625" style="49" customWidth="1"/>
    <col min="10500" max="10500" width="14.42578125" style="49" customWidth="1"/>
    <col min="10501" max="10501" width="12.85546875" style="49" customWidth="1"/>
    <col min="10502" max="10505" width="9.140625" style="49"/>
    <col min="10506" max="10506" width="10" style="49" bestFit="1" customWidth="1"/>
    <col min="10507" max="10507" width="19.42578125" style="49" bestFit="1" customWidth="1"/>
    <col min="10508" max="10509" width="11" style="49" bestFit="1" customWidth="1"/>
    <col min="10510" max="10510" width="9.140625" style="49"/>
    <col min="10511" max="10511" width="11.5703125" style="49" bestFit="1" customWidth="1"/>
    <col min="10512" max="10753" width="9.140625" style="49"/>
    <col min="10754" max="10754" width="37.28515625" style="49" customWidth="1"/>
    <col min="10755" max="10755" width="13.28515625" style="49" customWidth="1"/>
    <col min="10756" max="10756" width="14.42578125" style="49" customWidth="1"/>
    <col min="10757" max="10757" width="12.85546875" style="49" customWidth="1"/>
    <col min="10758" max="10761" width="9.140625" style="49"/>
    <col min="10762" max="10762" width="10" style="49" bestFit="1" customWidth="1"/>
    <col min="10763" max="10763" width="19.42578125" style="49" bestFit="1" customWidth="1"/>
    <col min="10764" max="10765" width="11" style="49" bestFit="1" customWidth="1"/>
    <col min="10766" max="10766" width="9.140625" style="49"/>
    <col min="10767" max="10767" width="11.5703125" style="49" bestFit="1" customWidth="1"/>
    <col min="10768" max="11009" width="9.140625" style="49"/>
    <col min="11010" max="11010" width="37.28515625" style="49" customWidth="1"/>
    <col min="11011" max="11011" width="13.28515625" style="49" customWidth="1"/>
    <col min="11012" max="11012" width="14.42578125" style="49" customWidth="1"/>
    <col min="11013" max="11013" width="12.85546875" style="49" customWidth="1"/>
    <col min="11014" max="11017" width="9.140625" style="49"/>
    <col min="11018" max="11018" width="10" style="49" bestFit="1" customWidth="1"/>
    <col min="11019" max="11019" width="19.42578125" style="49" bestFit="1" customWidth="1"/>
    <col min="11020" max="11021" width="11" style="49" bestFit="1" customWidth="1"/>
    <col min="11022" max="11022" width="9.140625" style="49"/>
    <col min="11023" max="11023" width="11.5703125" style="49" bestFit="1" customWidth="1"/>
    <col min="11024" max="11265" width="9.140625" style="49"/>
    <col min="11266" max="11266" width="37.28515625" style="49" customWidth="1"/>
    <col min="11267" max="11267" width="13.28515625" style="49" customWidth="1"/>
    <col min="11268" max="11268" width="14.42578125" style="49" customWidth="1"/>
    <col min="11269" max="11269" width="12.85546875" style="49" customWidth="1"/>
    <col min="11270" max="11273" width="9.140625" style="49"/>
    <col min="11274" max="11274" width="10" style="49" bestFit="1" customWidth="1"/>
    <col min="11275" max="11275" width="19.42578125" style="49" bestFit="1" customWidth="1"/>
    <col min="11276" max="11277" width="11" style="49" bestFit="1" customWidth="1"/>
    <col min="11278" max="11278" width="9.140625" style="49"/>
    <col min="11279" max="11279" width="11.5703125" style="49" bestFit="1" customWidth="1"/>
    <col min="11280" max="11521" width="9.140625" style="49"/>
    <col min="11522" max="11522" width="37.28515625" style="49" customWidth="1"/>
    <col min="11523" max="11523" width="13.28515625" style="49" customWidth="1"/>
    <col min="11524" max="11524" width="14.42578125" style="49" customWidth="1"/>
    <col min="11525" max="11525" width="12.85546875" style="49" customWidth="1"/>
    <col min="11526" max="11529" width="9.140625" style="49"/>
    <col min="11530" max="11530" width="10" style="49" bestFit="1" customWidth="1"/>
    <col min="11531" max="11531" width="19.42578125" style="49" bestFit="1" customWidth="1"/>
    <col min="11532" max="11533" width="11" style="49" bestFit="1" customWidth="1"/>
    <col min="11534" max="11534" width="9.140625" style="49"/>
    <col min="11535" max="11535" width="11.5703125" style="49" bestFit="1" customWidth="1"/>
    <col min="11536" max="11777" width="9.140625" style="49"/>
    <col min="11778" max="11778" width="37.28515625" style="49" customWidth="1"/>
    <col min="11779" max="11779" width="13.28515625" style="49" customWidth="1"/>
    <col min="11780" max="11780" width="14.42578125" style="49" customWidth="1"/>
    <col min="11781" max="11781" width="12.85546875" style="49" customWidth="1"/>
    <col min="11782" max="11785" width="9.140625" style="49"/>
    <col min="11786" max="11786" width="10" style="49" bestFit="1" customWidth="1"/>
    <col min="11787" max="11787" width="19.42578125" style="49" bestFit="1" customWidth="1"/>
    <col min="11788" max="11789" width="11" style="49" bestFit="1" customWidth="1"/>
    <col min="11790" max="11790" width="9.140625" style="49"/>
    <col min="11791" max="11791" width="11.5703125" style="49" bestFit="1" customWidth="1"/>
    <col min="11792" max="12033" width="9.140625" style="49"/>
    <col min="12034" max="12034" width="37.28515625" style="49" customWidth="1"/>
    <col min="12035" max="12035" width="13.28515625" style="49" customWidth="1"/>
    <col min="12036" max="12036" width="14.42578125" style="49" customWidth="1"/>
    <col min="12037" max="12037" width="12.85546875" style="49" customWidth="1"/>
    <col min="12038" max="12041" width="9.140625" style="49"/>
    <col min="12042" max="12042" width="10" style="49" bestFit="1" customWidth="1"/>
    <col min="12043" max="12043" width="19.42578125" style="49" bestFit="1" customWidth="1"/>
    <col min="12044" max="12045" width="11" style="49" bestFit="1" customWidth="1"/>
    <col min="12046" max="12046" width="9.140625" style="49"/>
    <col min="12047" max="12047" width="11.5703125" style="49" bestFit="1" customWidth="1"/>
    <col min="12048" max="12289" width="9.140625" style="49"/>
    <col min="12290" max="12290" width="37.28515625" style="49" customWidth="1"/>
    <col min="12291" max="12291" width="13.28515625" style="49" customWidth="1"/>
    <col min="12292" max="12292" width="14.42578125" style="49" customWidth="1"/>
    <col min="12293" max="12293" width="12.85546875" style="49" customWidth="1"/>
    <col min="12294" max="12297" width="9.140625" style="49"/>
    <col min="12298" max="12298" width="10" style="49" bestFit="1" customWidth="1"/>
    <col min="12299" max="12299" width="19.42578125" style="49" bestFit="1" customWidth="1"/>
    <col min="12300" max="12301" width="11" style="49" bestFit="1" customWidth="1"/>
    <col min="12302" max="12302" width="9.140625" style="49"/>
    <col min="12303" max="12303" width="11.5703125" style="49" bestFit="1" customWidth="1"/>
    <col min="12304" max="12545" width="9.140625" style="49"/>
    <col min="12546" max="12546" width="37.28515625" style="49" customWidth="1"/>
    <col min="12547" max="12547" width="13.28515625" style="49" customWidth="1"/>
    <col min="12548" max="12548" width="14.42578125" style="49" customWidth="1"/>
    <col min="12549" max="12549" width="12.85546875" style="49" customWidth="1"/>
    <col min="12550" max="12553" width="9.140625" style="49"/>
    <col min="12554" max="12554" width="10" style="49" bestFit="1" customWidth="1"/>
    <col min="12555" max="12555" width="19.42578125" style="49" bestFit="1" customWidth="1"/>
    <col min="12556" max="12557" width="11" style="49" bestFit="1" customWidth="1"/>
    <col min="12558" max="12558" width="9.140625" style="49"/>
    <col min="12559" max="12559" width="11.5703125" style="49" bestFit="1" customWidth="1"/>
    <col min="12560" max="12801" width="9.140625" style="49"/>
    <col min="12802" max="12802" width="37.28515625" style="49" customWidth="1"/>
    <col min="12803" max="12803" width="13.28515625" style="49" customWidth="1"/>
    <col min="12804" max="12804" width="14.42578125" style="49" customWidth="1"/>
    <col min="12805" max="12805" width="12.85546875" style="49" customWidth="1"/>
    <col min="12806" max="12809" width="9.140625" style="49"/>
    <col min="12810" max="12810" width="10" style="49" bestFit="1" customWidth="1"/>
    <col min="12811" max="12811" width="19.42578125" style="49" bestFit="1" customWidth="1"/>
    <col min="12812" max="12813" width="11" style="49" bestFit="1" customWidth="1"/>
    <col min="12814" max="12814" width="9.140625" style="49"/>
    <col min="12815" max="12815" width="11.5703125" style="49" bestFit="1" customWidth="1"/>
    <col min="12816" max="13057" width="9.140625" style="49"/>
    <col min="13058" max="13058" width="37.28515625" style="49" customWidth="1"/>
    <col min="13059" max="13059" width="13.28515625" style="49" customWidth="1"/>
    <col min="13060" max="13060" width="14.42578125" style="49" customWidth="1"/>
    <col min="13061" max="13061" width="12.85546875" style="49" customWidth="1"/>
    <col min="13062" max="13065" width="9.140625" style="49"/>
    <col min="13066" max="13066" width="10" style="49" bestFit="1" customWidth="1"/>
    <col min="13067" max="13067" width="19.42578125" style="49" bestFit="1" customWidth="1"/>
    <col min="13068" max="13069" width="11" style="49" bestFit="1" customWidth="1"/>
    <col min="13070" max="13070" width="9.140625" style="49"/>
    <col min="13071" max="13071" width="11.5703125" style="49" bestFit="1" customWidth="1"/>
    <col min="13072" max="13313" width="9.140625" style="49"/>
    <col min="13314" max="13314" width="37.28515625" style="49" customWidth="1"/>
    <col min="13315" max="13315" width="13.28515625" style="49" customWidth="1"/>
    <col min="13316" max="13316" width="14.42578125" style="49" customWidth="1"/>
    <col min="13317" max="13317" width="12.85546875" style="49" customWidth="1"/>
    <col min="13318" max="13321" width="9.140625" style="49"/>
    <col min="13322" max="13322" width="10" style="49" bestFit="1" customWidth="1"/>
    <col min="13323" max="13323" width="19.42578125" style="49" bestFit="1" customWidth="1"/>
    <col min="13324" max="13325" width="11" style="49" bestFit="1" customWidth="1"/>
    <col min="13326" max="13326" width="9.140625" style="49"/>
    <col min="13327" max="13327" width="11.5703125" style="49" bestFit="1" customWidth="1"/>
    <col min="13328" max="13569" width="9.140625" style="49"/>
    <col min="13570" max="13570" width="37.28515625" style="49" customWidth="1"/>
    <col min="13571" max="13571" width="13.28515625" style="49" customWidth="1"/>
    <col min="13572" max="13572" width="14.42578125" style="49" customWidth="1"/>
    <col min="13573" max="13573" width="12.85546875" style="49" customWidth="1"/>
    <col min="13574" max="13577" width="9.140625" style="49"/>
    <col min="13578" max="13578" width="10" style="49" bestFit="1" customWidth="1"/>
    <col min="13579" max="13579" width="19.42578125" style="49" bestFit="1" customWidth="1"/>
    <col min="13580" max="13581" width="11" style="49" bestFit="1" customWidth="1"/>
    <col min="13582" max="13582" width="9.140625" style="49"/>
    <col min="13583" max="13583" width="11.5703125" style="49" bestFit="1" customWidth="1"/>
    <col min="13584" max="13825" width="9.140625" style="49"/>
    <col min="13826" max="13826" width="37.28515625" style="49" customWidth="1"/>
    <col min="13827" max="13827" width="13.28515625" style="49" customWidth="1"/>
    <col min="13828" max="13828" width="14.42578125" style="49" customWidth="1"/>
    <col min="13829" max="13829" width="12.85546875" style="49" customWidth="1"/>
    <col min="13830" max="13833" width="9.140625" style="49"/>
    <col min="13834" max="13834" width="10" style="49" bestFit="1" customWidth="1"/>
    <col min="13835" max="13835" width="19.42578125" style="49" bestFit="1" customWidth="1"/>
    <col min="13836" max="13837" width="11" style="49" bestFit="1" customWidth="1"/>
    <col min="13838" max="13838" width="9.140625" style="49"/>
    <col min="13839" max="13839" width="11.5703125" style="49" bestFit="1" customWidth="1"/>
    <col min="13840" max="14081" width="9.140625" style="49"/>
    <col min="14082" max="14082" width="37.28515625" style="49" customWidth="1"/>
    <col min="14083" max="14083" width="13.28515625" style="49" customWidth="1"/>
    <col min="14084" max="14084" width="14.42578125" style="49" customWidth="1"/>
    <col min="14085" max="14085" width="12.85546875" style="49" customWidth="1"/>
    <col min="14086" max="14089" width="9.140625" style="49"/>
    <col min="14090" max="14090" width="10" style="49" bestFit="1" customWidth="1"/>
    <col min="14091" max="14091" width="19.42578125" style="49" bestFit="1" customWidth="1"/>
    <col min="14092" max="14093" width="11" style="49" bestFit="1" customWidth="1"/>
    <col min="14094" max="14094" width="9.140625" style="49"/>
    <col min="14095" max="14095" width="11.5703125" style="49" bestFit="1" customWidth="1"/>
    <col min="14096" max="14337" width="9.140625" style="49"/>
    <col min="14338" max="14338" width="37.28515625" style="49" customWidth="1"/>
    <col min="14339" max="14339" width="13.28515625" style="49" customWidth="1"/>
    <col min="14340" max="14340" width="14.42578125" style="49" customWidth="1"/>
    <col min="14341" max="14341" width="12.85546875" style="49" customWidth="1"/>
    <col min="14342" max="14345" width="9.140625" style="49"/>
    <col min="14346" max="14346" width="10" style="49" bestFit="1" customWidth="1"/>
    <col min="14347" max="14347" width="19.42578125" style="49" bestFit="1" customWidth="1"/>
    <col min="14348" max="14349" width="11" style="49" bestFit="1" customWidth="1"/>
    <col min="14350" max="14350" width="9.140625" style="49"/>
    <col min="14351" max="14351" width="11.5703125" style="49" bestFit="1" customWidth="1"/>
    <col min="14352" max="14593" width="9.140625" style="49"/>
    <col min="14594" max="14594" width="37.28515625" style="49" customWidth="1"/>
    <col min="14595" max="14595" width="13.28515625" style="49" customWidth="1"/>
    <col min="14596" max="14596" width="14.42578125" style="49" customWidth="1"/>
    <col min="14597" max="14597" width="12.85546875" style="49" customWidth="1"/>
    <col min="14598" max="14601" width="9.140625" style="49"/>
    <col min="14602" max="14602" width="10" style="49" bestFit="1" customWidth="1"/>
    <col min="14603" max="14603" width="19.42578125" style="49" bestFit="1" customWidth="1"/>
    <col min="14604" max="14605" width="11" style="49" bestFit="1" customWidth="1"/>
    <col min="14606" max="14606" width="9.140625" style="49"/>
    <col min="14607" max="14607" width="11.5703125" style="49" bestFit="1" customWidth="1"/>
    <col min="14608" max="14849" width="9.140625" style="49"/>
    <col min="14850" max="14850" width="37.28515625" style="49" customWidth="1"/>
    <col min="14851" max="14851" width="13.28515625" style="49" customWidth="1"/>
    <col min="14852" max="14852" width="14.42578125" style="49" customWidth="1"/>
    <col min="14853" max="14853" width="12.85546875" style="49" customWidth="1"/>
    <col min="14854" max="14857" width="9.140625" style="49"/>
    <col min="14858" max="14858" width="10" style="49" bestFit="1" customWidth="1"/>
    <col min="14859" max="14859" width="19.42578125" style="49" bestFit="1" customWidth="1"/>
    <col min="14860" max="14861" width="11" style="49" bestFit="1" customWidth="1"/>
    <col min="14862" max="14862" width="9.140625" style="49"/>
    <col min="14863" max="14863" width="11.5703125" style="49" bestFit="1" customWidth="1"/>
    <col min="14864" max="15105" width="9.140625" style="49"/>
    <col min="15106" max="15106" width="37.28515625" style="49" customWidth="1"/>
    <col min="15107" max="15107" width="13.28515625" style="49" customWidth="1"/>
    <col min="15108" max="15108" width="14.42578125" style="49" customWidth="1"/>
    <col min="15109" max="15109" width="12.85546875" style="49" customWidth="1"/>
    <col min="15110" max="15113" width="9.140625" style="49"/>
    <col min="15114" max="15114" width="10" style="49" bestFit="1" customWidth="1"/>
    <col min="15115" max="15115" width="19.42578125" style="49" bestFit="1" customWidth="1"/>
    <col min="15116" max="15117" width="11" style="49" bestFit="1" customWidth="1"/>
    <col min="15118" max="15118" width="9.140625" style="49"/>
    <col min="15119" max="15119" width="11.5703125" style="49" bestFit="1" customWidth="1"/>
    <col min="15120" max="15361" width="9.140625" style="49"/>
    <col min="15362" max="15362" width="37.28515625" style="49" customWidth="1"/>
    <col min="15363" max="15363" width="13.28515625" style="49" customWidth="1"/>
    <col min="15364" max="15364" width="14.42578125" style="49" customWidth="1"/>
    <col min="15365" max="15365" width="12.85546875" style="49" customWidth="1"/>
    <col min="15366" max="15369" width="9.140625" style="49"/>
    <col min="15370" max="15370" width="10" style="49" bestFit="1" customWidth="1"/>
    <col min="15371" max="15371" width="19.42578125" style="49" bestFit="1" customWidth="1"/>
    <col min="15372" max="15373" width="11" style="49" bestFit="1" customWidth="1"/>
    <col min="15374" max="15374" width="9.140625" style="49"/>
    <col min="15375" max="15375" width="11.5703125" style="49" bestFit="1" customWidth="1"/>
    <col min="15376" max="15617" width="9.140625" style="49"/>
    <col min="15618" max="15618" width="37.28515625" style="49" customWidth="1"/>
    <col min="15619" max="15619" width="13.28515625" style="49" customWidth="1"/>
    <col min="15620" max="15620" width="14.42578125" style="49" customWidth="1"/>
    <col min="15621" max="15621" width="12.85546875" style="49" customWidth="1"/>
    <col min="15622" max="15625" width="9.140625" style="49"/>
    <col min="15626" max="15626" width="10" style="49" bestFit="1" customWidth="1"/>
    <col min="15627" max="15627" width="19.42578125" style="49" bestFit="1" customWidth="1"/>
    <col min="15628" max="15629" width="11" style="49" bestFit="1" customWidth="1"/>
    <col min="15630" max="15630" width="9.140625" style="49"/>
    <col min="15631" max="15631" width="11.5703125" style="49" bestFit="1" customWidth="1"/>
    <col min="15632" max="15873" width="9.140625" style="49"/>
    <col min="15874" max="15874" width="37.28515625" style="49" customWidth="1"/>
    <col min="15875" max="15875" width="13.28515625" style="49" customWidth="1"/>
    <col min="15876" max="15876" width="14.42578125" style="49" customWidth="1"/>
    <col min="15877" max="15877" width="12.85546875" style="49" customWidth="1"/>
    <col min="15878" max="15881" width="9.140625" style="49"/>
    <col min="15882" max="15882" width="10" style="49" bestFit="1" customWidth="1"/>
    <col min="15883" max="15883" width="19.42578125" style="49" bestFit="1" customWidth="1"/>
    <col min="15884" max="15885" width="11" style="49" bestFit="1" customWidth="1"/>
    <col min="15886" max="15886" width="9.140625" style="49"/>
    <col min="15887" max="15887" width="11.5703125" style="49" bestFit="1" customWidth="1"/>
    <col min="15888" max="16129" width="9.140625" style="49"/>
    <col min="16130" max="16130" width="37.28515625" style="49" customWidth="1"/>
    <col min="16131" max="16131" width="13.28515625" style="49" customWidth="1"/>
    <col min="16132" max="16132" width="14.42578125" style="49" customWidth="1"/>
    <col min="16133" max="16133" width="12.85546875" style="49" customWidth="1"/>
    <col min="16134" max="16137" width="9.140625" style="49"/>
    <col min="16138" max="16138" width="10" style="49" bestFit="1" customWidth="1"/>
    <col min="16139" max="16139" width="19.42578125" style="49" bestFit="1" customWidth="1"/>
    <col min="16140" max="16141" width="11" style="49" bestFit="1" customWidth="1"/>
    <col min="16142" max="16142" width="9.140625" style="49"/>
    <col min="16143" max="16143" width="11.5703125" style="49" bestFit="1" customWidth="1"/>
    <col min="16144" max="16384" width="9.140625" style="49"/>
  </cols>
  <sheetData>
    <row r="1" spans="1:16" s="47" customFormat="1">
      <c r="A1" s="47" t="s">
        <v>93</v>
      </c>
    </row>
    <row r="2" spans="1:16" s="47" customFormat="1">
      <c r="A2" s="47" t="s">
        <v>45</v>
      </c>
      <c r="J2" s="48" t="s">
        <v>110</v>
      </c>
      <c r="N2" s="47" t="s">
        <v>111</v>
      </c>
    </row>
    <row r="3" spans="1:16" s="47" customFormat="1">
      <c r="A3" s="47" t="s">
        <v>112</v>
      </c>
      <c r="J3" s="48"/>
    </row>
    <row r="4" spans="1:16">
      <c r="B4" s="86" t="s">
        <v>16</v>
      </c>
      <c r="C4" s="50" t="s">
        <v>17</v>
      </c>
      <c r="D4" s="49" t="s">
        <v>0</v>
      </c>
      <c r="J4" s="49" t="s">
        <v>113</v>
      </c>
      <c r="K4" s="51">
        <v>49020</v>
      </c>
      <c r="L4" s="51"/>
      <c r="N4" s="49" t="s">
        <v>113</v>
      </c>
      <c r="O4" s="51">
        <f>C6</f>
        <v>50490.6</v>
      </c>
    </row>
    <row r="5" spans="1:16">
      <c r="A5" s="47" t="s">
        <v>46</v>
      </c>
      <c r="B5" s="87"/>
      <c r="C5" s="52"/>
      <c r="J5" s="53" t="s">
        <v>114</v>
      </c>
      <c r="K5" s="126">
        <v>9770</v>
      </c>
      <c r="L5" s="53">
        <f>K5+K6+K8+K11</f>
        <v>24330</v>
      </c>
      <c r="N5" s="49" t="s">
        <v>114</v>
      </c>
      <c r="O5" s="126">
        <v>9770</v>
      </c>
      <c r="P5" s="49">
        <f>O5+O6+O8</f>
        <v>22530</v>
      </c>
    </row>
    <row r="6" spans="1:16">
      <c r="A6" s="49" t="s">
        <v>47</v>
      </c>
      <c r="B6" s="88">
        <v>49020</v>
      </c>
      <c r="C6" s="54">
        <f>49020+(49020*0.03)</f>
        <v>50490.6</v>
      </c>
      <c r="D6" s="49" t="s">
        <v>115</v>
      </c>
      <c r="J6" s="53" t="s">
        <v>116</v>
      </c>
      <c r="K6" s="126">
        <v>4800</v>
      </c>
      <c r="L6" s="53"/>
      <c r="N6" s="49" t="s">
        <v>116</v>
      </c>
      <c r="O6" s="126">
        <v>4800</v>
      </c>
    </row>
    <row r="7" spans="1:16">
      <c r="A7" s="49" t="s">
        <v>117</v>
      </c>
      <c r="B7" s="88">
        <v>0</v>
      </c>
      <c r="C7" s="97">
        <v>4500</v>
      </c>
      <c r="J7" s="53" t="s">
        <v>118</v>
      </c>
      <c r="K7" s="53">
        <v>18900.55</v>
      </c>
      <c r="L7" s="53"/>
      <c r="N7" s="49" t="s">
        <v>118</v>
      </c>
      <c r="O7" s="49">
        <v>18900.55</v>
      </c>
    </row>
    <row r="8" spans="1:16">
      <c r="A8" s="49" t="s">
        <v>119</v>
      </c>
      <c r="B8" s="88">
        <v>2160</v>
      </c>
      <c r="C8" s="54">
        <v>0</v>
      </c>
      <c r="D8" s="49" t="s">
        <v>120</v>
      </c>
      <c r="J8" s="53" t="s">
        <v>121</v>
      </c>
      <c r="K8" s="126">
        <v>7960</v>
      </c>
      <c r="L8" s="53"/>
      <c r="N8" s="49" t="s">
        <v>121</v>
      </c>
      <c r="O8" s="126">
        <v>7960</v>
      </c>
    </row>
    <row r="9" spans="1:16">
      <c r="A9" s="49" t="s">
        <v>122</v>
      </c>
      <c r="B9" s="88">
        <v>0</v>
      </c>
      <c r="C9" s="54">
        <v>2700</v>
      </c>
      <c r="D9" s="49" t="s">
        <v>182</v>
      </c>
      <c r="J9" s="53"/>
      <c r="K9" s="56">
        <f>SUM(K4:K8)</f>
        <v>90450.55</v>
      </c>
      <c r="L9" s="56"/>
      <c r="M9" s="51">
        <f>K9+K11</f>
        <v>92250.55</v>
      </c>
    </row>
    <row r="10" spans="1:16">
      <c r="A10" s="57" t="s">
        <v>48</v>
      </c>
      <c r="B10" s="88">
        <v>1463</v>
      </c>
      <c r="C10" s="54">
        <v>500</v>
      </c>
      <c r="D10" s="49" t="s">
        <v>123</v>
      </c>
      <c r="J10" s="49" t="s">
        <v>10</v>
      </c>
      <c r="K10" s="126">
        <v>3000</v>
      </c>
      <c r="M10" s="51"/>
      <c r="O10" s="49">
        <v>3000</v>
      </c>
    </row>
    <row r="11" spans="1:16">
      <c r="A11" s="57" t="s">
        <v>124</v>
      </c>
      <c r="B11" s="88">
        <v>2650</v>
      </c>
      <c r="C11" s="54">
        <v>2700</v>
      </c>
      <c r="D11" s="49" t="s">
        <v>183</v>
      </c>
      <c r="J11" s="49" t="s">
        <v>125</v>
      </c>
      <c r="K11" s="126">
        <v>1800</v>
      </c>
    </row>
    <row r="12" spans="1:16">
      <c r="A12" s="57" t="s">
        <v>126</v>
      </c>
      <c r="B12" s="88">
        <v>2147</v>
      </c>
      <c r="C12" s="54">
        <f>12*10*30</f>
        <v>3600</v>
      </c>
      <c r="D12" s="49" t="s">
        <v>127</v>
      </c>
      <c r="J12" s="49" t="s">
        <v>240</v>
      </c>
      <c r="K12" s="126">
        <f>0.02*K5</f>
        <v>195.4</v>
      </c>
      <c r="O12" s="49">
        <v>195.4</v>
      </c>
    </row>
    <row r="13" spans="1:16">
      <c r="A13" s="58" t="s">
        <v>49</v>
      </c>
      <c r="B13" s="89">
        <f>450+900</f>
        <v>1350</v>
      </c>
      <c r="C13" s="59">
        <v>675</v>
      </c>
      <c r="D13" s="58" t="s">
        <v>128</v>
      </c>
      <c r="E13" s="58"/>
      <c r="F13" s="58"/>
      <c r="G13" s="58"/>
      <c r="H13" s="58"/>
      <c r="J13" s="49" t="s">
        <v>241</v>
      </c>
      <c r="K13" s="129">
        <f>0.05*K4</f>
        <v>2451</v>
      </c>
      <c r="O13" s="51">
        <v>1262</v>
      </c>
      <c r="P13" s="51">
        <f>O5+O13+O12</f>
        <v>11227.4</v>
      </c>
    </row>
    <row r="14" spans="1:16">
      <c r="A14" s="60" t="s">
        <v>5</v>
      </c>
      <c r="B14" s="90">
        <f>SUM(B6:B13)</f>
        <v>58790</v>
      </c>
      <c r="C14" s="61">
        <f>SUM(C6:C13)</f>
        <v>65165.599999999999</v>
      </c>
      <c r="D14" s="62">
        <f>C14-B14</f>
        <v>6375.5999999999985</v>
      </c>
      <c r="E14" s="47" t="s">
        <v>50</v>
      </c>
      <c r="K14" s="51">
        <f>K5+K6+K8+K10+K11+K12+K13</f>
        <v>29976.400000000001</v>
      </c>
      <c r="L14" s="51"/>
      <c r="M14" s="51"/>
      <c r="N14" s="51"/>
      <c r="O14" s="51">
        <f>O5+O6+O8+O10+O11+O12+O13</f>
        <v>26987.4</v>
      </c>
    </row>
    <row r="15" spans="1:16">
      <c r="A15" s="47" t="s">
        <v>51</v>
      </c>
      <c r="B15" s="88"/>
      <c r="C15" s="54"/>
      <c r="M15" s="49">
        <f>SUM(K8:K11)</f>
        <v>103210.55</v>
      </c>
    </row>
    <row r="16" spans="1:16">
      <c r="A16" s="49" t="s">
        <v>52</v>
      </c>
      <c r="B16" s="88">
        <v>18900.55</v>
      </c>
      <c r="C16" s="54">
        <f>18900.55+1336</f>
        <v>20236.55</v>
      </c>
      <c r="D16" s="49" t="s">
        <v>129</v>
      </c>
      <c r="J16" s="49" t="s">
        <v>130</v>
      </c>
      <c r="N16" s="49" t="s">
        <v>130</v>
      </c>
    </row>
    <row r="17" spans="1:15" customFormat="1" ht="15">
      <c r="B17" s="91"/>
      <c r="C17" s="63"/>
      <c r="D17" s="8"/>
      <c r="J17" t="s">
        <v>131</v>
      </c>
      <c r="K17">
        <f>K4+K5</f>
        <v>58790</v>
      </c>
      <c r="N17" t="s">
        <v>132</v>
      </c>
      <c r="O17" s="27">
        <f>O4+O5</f>
        <v>60260.6</v>
      </c>
    </row>
    <row r="18" spans="1:15">
      <c r="A18" s="58"/>
      <c r="B18" s="89"/>
      <c r="C18" s="64"/>
      <c r="D18" s="65"/>
      <c r="E18" s="58"/>
      <c r="F18" s="58"/>
      <c r="G18" s="58"/>
      <c r="J18" s="49" t="s">
        <v>118</v>
      </c>
      <c r="K18" s="49">
        <f>K7</f>
        <v>18900.55</v>
      </c>
      <c r="N18" s="49" t="s">
        <v>118</v>
      </c>
      <c r="O18" s="49">
        <v>20236.55</v>
      </c>
    </row>
    <row r="19" spans="1:15">
      <c r="A19" s="60" t="s">
        <v>5</v>
      </c>
      <c r="B19" s="92">
        <f>SUM(B16:B18)</f>
        <v>18900.55</v>
      </c>
      <c r="C19" s="61">
        <f>SUM(C16:C18)</f>
        <v>20236.55</v>
      </c>
      <c r="D19" s="62">
        <f>C19-B19</f>
        <v>1336</v>
      </c>
      <c r="E19" s="47" t="s">
        <v>50</v>
      </c>
      <c r="J19" s="49" t="s">
        <v>133</v>
      </c>
      <c r="K19" s="49">
        <f>K8+K11+K6</f>
        <v>14560</v>
      </c>
      <c r="N19" s="49" t="s">
        <v>121</v>
      </c>
      <c r="O19" s="49">
        <f>O8+O6</f>
        <v>12760</v>
      </c>
    </row>
    <row r="20" spans="1:15">
      <c r="A20" s="47" t="s">
        <v>53</v>
      </c>
      <c r="B20" s="88"/>
      <c r="C20" s="61"/>
      <c r="N20" s="51">
        <f>SUM(O17:O19)</f>
        <v>93257.15</v>
      </c>
    </row>
    <row r="21" spans="1:15">
      <c r="A21" s="66" t="s">
        <v>54</v>
      </c>
      <c r="B21" s="93"/>
      <c r="C21" s="67"/>
      <c r="D21" s="68"/>
      <c r="E21" s="68"/>
      <c r="F21" s="68"/>
      <c r="G21" s="68"/>
    </row>
    <row r="22" spans="1:15" s="69" customFormat="1">
      <c r="A22" s="69" t="s">
        <v>55</v>
      </c>
      <c r="B22" s="94">
        <v>161</v>
      </c>
      <c r="C22" s="70">
        <v>250</v>
      </c>
      <c r="I22" s="69">
        <f>49020*0.05</f>
        <v>2451</v>
      </c>
    </row>
    <row r="23" spans="1:15" s="53" customFormat="1">
      <c r="A23" s="71" t="s">
        <v>56</v>
      </c>
      <c r="B23" s="89">
        <v>0</v>
      </c>
      <c r="C23" s="64">
        <v>250</v>
      </c>
      <c r="I23" s="56">
        <f>C6*0.075</f>
        <v>3786.7949999999996</v>
      </c>
      <c r="J23" s="56">
        <f>C6/24</f>
        <v>2103.7750000000001</v>
      </c>
      <c r="K23" s="56">
        <f>B6/24</f>
        <v>2042.5</v>
      </c>
      <c r="L23" s="56"/>
    </row>
    <row r="24" spans="1:15">
      <c r="A24" s="60" t="s">
        <v>5</v>
      </c>
      <c r="B24" s="92">
        <f>SUM(B22:B23)</f>
        <v>161</v>
      </c>
      <c r="C24" s="61">
        <f>SUM(C22:C23)</f>
        <v>500</v>
      </c>
      <c r="D24" s="62">
        <f>C24-B24</f>
        <v>339</v>
      </c>
      <c r="E24" s="47" t="s">
        <v>50</v>
      </c>
      <c r="I24" s="51">
        <f>I23-I22</f>
        <v>1335.7949999999996</v>
      </c>
      <c r="J24" s="51">
        <f>J23*0.075</f>
        <v>157.78312500000001</v>
      </c>
      <c r="K24" s="51">
        <f>K23*0.05</f>
        <v>102.125</v>
      </c>
      <c r="L24" s="51"/>
      <c r="M24" s="51">
        <f>J24-K24</f>
        <v>55.658125000000013</v>
      </c>
      <c r="N24" s="51">
        <f>M24*2</f>
        <v>111.31625000000003</v>
      </c>
      <c r="O24" s="51">
        <f>N24*12</f>
        <v>1335.7950000000003</v>
      </c>
    </row>
    <row r="25" spans="1:15">
      <c r="A25" s="72" t="s">
        <v>57</v>
      </c>
      <c r="B25" s="93"/>
      <c r="C25" s="67"/>
      <c r="D25" s="68"/>
      <c r="E25" s="68"/>
      <c r="F25" s="68"/>
      <c r="G25" s="68"/>
    </row>
    <row r="26" spans="1:15" s="53" customFormat="1">
      <c r="A26" s="53" t="s">
        <v>134</v>
      </c>
      <c r="B26" s="88">
        <v>67</v>
      </c>
      <c r="C26" s="55">
        <v>1200</v>
      </c>
      <c r="D26" s="53" t="s">
        <v>135</v>
      </c>
    </row>
    <row r="27" spans="1:15" s="53" customFormat="1">
      <c r="A27" s="53" t="s">
        <v>58</v>
      </c>
      <c r="B27" s="88">
        <v>225</v>
      </c>
      <c r="C27" s="54">
        <v>300</v>
      </c>
      <c r="D27" s="53" t="s">
        <v>136</v>
      </c>
    </row>
    <row r="28" spans="1:15" s="53" customFormat="1">
      <c r="A28" s="53" t="s">
        <v>137</v>
      </c>
      <c r="B28" s="88">
        <v>50</v>
      </c>
      <c r="C28" s="70">
        <v>60</v>
      </c>
    </row>
    <row r="29" spans="1:15" s="53" customFormat="1">
      <c r="A29" s="53" t="s">
        <v>59</v>
      </c>
      <c r="B29" s="88">
        <v>650</v>
      </c>
      <c r="C29" s="97">
        <v>2100</v>
      </c>
      <c r="D29" s="53" t="s">
        <v>186</v>
      </c>
    </row>
    <row r="30" spans="1:15" s="53" customFormat="1">
      <c r="A30" s="53" t="s">
        <v>60</v>
      </c>
      <c r="B30" s="88">
        <v>0</v>
      </c>
      <c r="C30" s="97">
        <f>M50</f>
        <v>2100</v>
      </c>
      <c r="D30" s="53" t="s">
        <v>191</v>
      </c>
    </row>
    <row r="31" spans="1:15" s="53" customFormat="1">
      <c r="A31" s="53" t="s">
        <v>61</v>
      </c>
      <c r="B31" s="88">
        <f>1260+333</f>
        <v>1593</v>
      </c>
      <c r="C31" s="97">
        <v>10000</v>
      </c>
      <c r="D31" s="53" t="s">
        <v>190</v>
      </c>
      <c r="K31" s="73">
        <v>5000</v>
      </c>
      <c r="L31" s="73"/>
      <c r="N31" s="73" t="s">
        <v>62</v>
      </c>
      <c r="O31" s="73"/>
    </row>
    <row r="32" spans="1:15" s="53" customFormat="1">
      <c r="A32" s="53" t="s">
        <v>63</v>
      </c>
      <c r="B32" s="88">
        <v>1590</v>
      </c>
      <c r="C32" s="97">
        <v>2000</v>
      </c>
      <c r="D32" s="53" t="s">
        <v>138</v>
      </c>
      <c r="K32" s="53">
        <v>2400</v>
      </c>
      <c r="N32" s="53" t="s">
        <v>64</v>
      </c>
    </row>
    <row r="33" spans="1:15" s="53" customFormat="1">
      <c r="A33" s="53" t="s">
        <v>139</v>
      </c>
      <c r="B33" s="88">
        <f>98*3</f>
        <v>294</v>
      </c>
      <c r="C33" s="54">
        <f>392*3</f>
        <v>1176</v>
      </c>
      <c r="D33" s="53" t="s">
        <v>140</v>
      </c>
      <c r="L33" s="53">
        <v>5040</v>
      </c>
      <c r="M33" s="73">
        <f>1260*4</f>
        <v>5040</v>
      </c>
      <c r="N33" s="73" t="s">
        <v>187</v>
      </c>
      <c r="O33" s="73"/>
    </row>
    <row r="34" spans="1:15" s="53" customFormat="1">
      <c r="A34" s="53" t="s">
        <v>141</v>
      </c>
      <c r="B34" s="88">
        <v>1230</v>
      </c>
      <c r="C34" s="97">
        <v>5000</v>
      </c>
      <c r="D34" s="53" t="s">
        <v>188</v>
      </c>
      <c r="K34" s="73">
        <v>2200</v>
      </c>
      <c r="L34" s="73"/>
      <c r="N34" s="73" t="s">
        <v>65</v>
      </c>
      <c r="O34" s="73"/>
    </row>
    <row r="35" spans="1:15" s="53" customFormat="1">
      <c r="A35" s="71" t="s">
        <v>66</v>
      </c>
      <c r="B35" s="89">
        <v>4500</v>
      </c>
      <c r="C35" s="64">
        <v>5000</v>
      </c>
      <c r="D35" s="53" t="s">
        <v>67</v>
      </c>
      <c r="L35" s="53">
        <v>800</v>
      </c>
      <c r="M35" s="73">
        <v>3500</v>
      </c>
      <c r="N35" s="73" t="s">
        <v>221</v>
      </c>
      <c r="O35" s="73"/>
    </row>
    <row r="36" spans="1:15">
      <c r="A36" s="60" t="s">
        <v>5</v>
      </c>
      <c r="B36" s="92">
        <f>SUM(B26:B35)</f>
        <v>10199</v>
      </c>
      <c r="C36" s="61">
        <f>SUM(C26:C35)</f>
        <v>28936</v>
      </c>
      <c r="D36" s="62">
        <f>C36-B36</f>
        <v>18737</v>
      </c>
      <c r="E36" s="47" t="s">
        <v>50</v>
      </c>
      <c r="L36" s="49">
        <v>350</v>
      </c>
      <c r="M36" s="73">
        <v>1500</v>
      </c>
      <c r="N36" s="73" t="s">
        <v>223</v>
      </c>
      <c r="O36" s="73"/>
    </row>
    <row r="37" spans="1:15">
      <c r="A37" s="72" t="s">
        <v>69</v>
      </c>
      <c r="B37" s="88"/>
      <c r="C37" s="54"/>
      <c r="D37" s="68"/>
      <c r="E37" s="68"/>
      <c r="F37" s="68"/>
      <c r="G37" s="68"/>
      <c r="L37" s="49">
        <v>1280</v>
      </c>
      <c r="M37" s="73">
        <f>1015+250+15</f>
        <v>1280</v>
      </c>
      <c r="N37" s="73" t="s">
        <v>222</v>
      </c>
      <c r="O37" s="73"/>
    </row>
    <row r="38" spans="1:15" s="53" customFormat="1">
      <c r="A38" s="53" t="s">
        <v>70</v>
      </c>
      <c r="B38" s="88">
        <v>300</v>
      </c>
      <c r="C38" s="97">
        <v>500</v>
      </c>
      <c r="D38" s="53" t="s">
        <v>184</v>
      </c>
      <c r="K38" s="73">
        <v>1000</v>
      </c>
      <c r="L38" s="73"/>
      <c r="N38" s="73" t="s">
        <v>71</v>
      </c>
      <c r="O38" s="73"/>
    </row>
    <row r="39" spans="1:15" s="53" customFormat="1">
      <c r="A39" s="53" t="s">
        <v>72</v>
      </c>
      <c r="B39" s="88">
        <v>440</v>
      </c>
      <c r="C39" s="54">
        <v>450</v>
      </c>
      <c r="L39" s="53">
        <f>SUM(L31:L38)</f>
        <v>7470</v>
      </c>
      <c r="M39" s="53">
        <f>SUM(M31:M38)</f>
        <v>11320</v>
      </c>
      <c r="N39" s="53" t="s">
        <v>73</v>
      </c>
    </row>
    <row r="40" spans="1:15" s="53" customFormat="1">
      <c r="A40" s="53" t="s">
        <v>142</v>
      </c>
      <c r="B40" s="88">
        <v>70</v>
      </c>
      <c r="C40" s="54">
        <f>7.45*12+30</f>
        <v>119.4</v>
      </c>
      <c r="D40" s="53" t="s">
        <v>143</v>
      </c>
    </row>
    <row r="41" spans="1:15" s="53" customFormat="1">
      <c r="A41" s="53" t="s">
        <v>74</v>
      </c>
      <c r="B41" s="88">
        <v>0</v>
      </c>
      <c r="C41" s="54">
        <v>300</v>
      </c>
      <c r="D41" s="53" t="s">
        <v>75</v>
      </c>
    </row>
    <row r="42" spans="1:15" s="53" customFormat="1">
      <c r="A42" s="53" t="s">
        <v>144</v>
      </c>
      <c r="B42" s="88">
        <v>0</v>
      </c>
      <c r="C42" s="54">
        <v>100</v>
      </c>
      <c r="D42" s="53" t="s">
        <v>185</v>
      </c>
      <c r="K42" s="73">
        <v>1200</v>
      </c>
      <c r="L42" s="73"/>
      <c r="N42" s="73" t="s">
        <v>76</v>
      </c>
      <c r="O42" s="73"/>
    </row>
    <row r="43" spans="1:15" s="53" customFormat="1">
      <c r="A43" s="53" t="s">
        <v>145</v>
      </c>
      <c r="B43" s="88">
        <v>0</v>
      </c>
      <c r="C43" s="96">
        <v>230</v>
      </c>
      <c r="D43" s="53" t="s">
        <v>146</v>
      </c>
      <c r="K43" s="73"/>
      <c r="L43" s="73"/>
      <c r="N43" s="73"/>
      <c r="O43" s="73"/>
    </row>
    <row r="44" spans="1:15" s="53" customFormat="1">
      <c r="A44" s="71" t="s">
        <v>77</v>
      </c>
      <c r="B44" s="89">
        <v>0</v>
      </c>
      <c r="C44" s="64">
        <v>500</v>
      </c>
      <c r="K44" s="73">
        <v>1000</v>
      </c>
      <c r="L44" s="73"/>
      <c r="N44" s="73" t="s">
        <v>78</v>
      </c>
      <c r="O44" s="73"/>
    </row>
    <row r="45" spans="1:15">
      <c r="A45" s="60" t="s">
        <v>5</v>
      </c>
      <c r="B45" s="92">
        <f>SUM(B38:B44)</f>
        <v>810</v>
      </c>
      <c r="C45" s="61">
        <f>SUM(C38:C44)</f>
        <v>2199.4</v>
      </c>
      <c r="D45" s="62">
        <f>C45-B45</f>
        <v>1389.4</v>
      </c>
      <c r="E45" s="47" t="s">
        <v>50</v>
      </c>
      <c r="K45" s="73">
        <v>1400</v>
      </c>
      <c r="L45" s="73"/>
      <c r="N45" s="73" t="s">
        <v>79</v>
      </c>
      <c r="O45" s="73"/>
    </row>
    <row r="46" spans="1:15">
      <c r="A46" s="66" t="s">
        <v>9</v>
      </c>
      <c r="B46" s="88"/>
      <c r="C46" s="54"/>
      <c r="D46" s="68"/>
      <c r="E46" s="68"/>
      <c r="F46" s="68"/>
      <c r="G46" s="68"/>
      <c r="K46" s="73">
        <v>1500</v>
      </c>
      <c r="L46" s="73"/>
      <c r="N46" s="73" t="s">
        <v>80</v>
      </c>
      <c r="O46" s="73"/>
    </row>
    <row r="47" spans="1:15">
      <c r="A47" s="53" t="s">
        <v>81</v>
      </c>
      <c r="B47" s="88">
        <v>150</v>
      </c>
      <c r="C47" s="54">
        <v>150</v>
      </c>
      <c r="D47" s="49" t="s">
        <v>82</v>
      </c>
      <c r="M47" s="73"/>
      <c r="N47" s="73"/>
      <c r="O47" s="73"/>
    </row>
    <row r="48" spans="1:15">
      <c r="A48" s="71" t="s">
        <v>83</v>
      </c>
      <c r="B48" s="89">
        <v>0</v>
      </c>
      <c r="C48" s="64">
        <v>1200</v>
      </c>
      <c r="M48" s="73">
        <v>1100</v>
      </c>
      <c r="N48" s="73" t="s">
        <v>84</v>
      </c>
      <c r="O48" s="73"/>
    </row>
    <row r="49" spans="1:15">
      <c r="A49" s="60" t="s">
        <v>5</v>
      </c>
      <c r="B49" s="92">
        <f>SUM(B47:B48)</f>
        <v>150</v>
      </c>
      <c r="C49" s="61">
        <f>SUM(C47:C48)</f>
        <v>1350</v>
      </c>
      <c r="D49" s="62">
        <f>C49-B49</f>
        <v>1200</v>
      </c>
      <c r="E49" s="47" t="s">
        <v>50</v>
      </c>
      <c r="M49" s="73">
        <v>1000</v>
      </c>
      <c r="N49" s="73" t="s">
        <v>85</v>
      </c>
      <c r="O49" s="73"/>
    </row>
    <row r="50" spans="1:15">
      <c r="A50" s="72" t="s">
        <v>86</v>
      </c>
      <c r="B50" s="88"/>
      <c r="C50" s="54"/>
      <c r="D50" s="68"/>
      <c r="E50" s="68"/>
      <c r="F50" s="68"/>
      <c r="G50" s="68"/>
      <c r="M50" s="49">
        <f>SUM(M42:M49)</f>
        <v>2100</v>
      </c>
      <c r="N50" s="49" t="s">
        <v>73</v>
      </c>
    </row>
    <row r="51" spans="1:15" s="53" customFormat="1">
      <c r="A51" s="53" t="s">
        <v>147</v>
      </c>
      <c r="B51" s="88">
        <v>1100</v>
      </c>
      <c r="C51" s="54">
        <v>1200</v>
      </c>
      <c r="D51" s="74"/>
      <c r="E51" s="74"/>
      <c r="F51" s="74"/>
      <c r="G51" s="74"/>
    </row>
    <row r="52" spans="1:15" s="53" customFormat="1">
      <c r="A52" s="53" t="s">
        <v>87</v>
      </c>
      <c r="B52" s="88">
        <v>769</v>
      </c>
      <c r="C52" s="54">
        <v>1200</v>
      </c>
      <c r="D52" s="53" t="s">
        <v>88</v>
      </c>
      <c r="M52" s="53" t="s">
        <v>148</v>
      </c>
    </row>
    <row r="53" spans="1:15">
      <c r="A53" s="71" t="s">
        <v>89</v>
      </c>
      <c r="B53" s="89">
        <v>1371</v>
      </c>
      <c r="C53" s="64">
        <v>1400</v>
      </c>
      <c r="D53" s="49" t="s">
        <v>90</v>
      </c>
      <c r="K53" s="49">
        <f>500*4</f>
        <v>2000</v>
      </c>
      <c r="M53" s="49" t="s">
        <v>149</v>
      </c>
    </row>
    <row r="54" spans="1:15">
      <c r="A54" s="60" t="s">
        <v>5</v>
      </c>
      <c r="B54" s="92">
        <f>SUM(B51:B53)</f>
        <v>3240</v>
      </c>
      <c r="C54" s="101">
        <f>SUM(C51:C53)</f>
        <v>3800</v>
      </c>
      <c r="K54" s="49">
        <v>200</v>
      </c>
      <c r="M54" s="49" t="s">
        <v>150</v>
      </c>
    </row>
    <row r="55" spans="1:15">
      <c r="A55" s="75" t="s">
        <v>91</v>
      </c>
      <c r="B55" s="93">
        <f>B24+B36+B45+B49+B54</f>
        <v>14560</v>
      </c>
      <c r="C55" s="67">
        <f>C54+C49+C45+C36+C24</f>
        <v>36785.4</v>
      </c>
      <c r="D55" s="76">
        <f>C55-B55</f>
        <v>22225.4</v>
      </c>
      <c r="E55" s="68" t="s">
        <v>92</v>
      </c>
      <c r="K55" s="49">
        <v>750</v>
      </c>
      <c r="M55" s="49" t="s">
        <v>151</v>
      </c>
    </row>
    <row r="56" spans="1:15">
      <c r="A56" s="77" t="s">
        <v>14</v>
      </c>
      <c r="B56" s="95">
        <f>B55+B19+B14</f>
        <v>92250.55</v>
      </c>
      <c r="C56" s="78">
        <f>SUM(C54+C49+C45+C36+C24+C19+C14)</f>
        <v>122187.54999999999</v>
      </c>
      <c r="D56" s="62">
        <f>C56-B56</f>
        <v>29936.999999999985</v>
      </c>
      <c r="E56" s="47" t="s">
        <v>152</v>
      </c>
      <c r="K56" s="49">
        <v>100</v>
      </c>
      <c r="M56" s="49" t="s">
        <v>153</v>
      </c>
    </row>
    <row r="57" spans="1:15">
      <c r="A57" s="77"/>
      <c r="B57" s="98"/>
      <c r="C57" s="99"/>
      <c r="D57" s="62"/>
      <c r="E57" s="47"/>
      <c r="K57" s="49">
        <v>300</v>
      </c>
      <c r="M57" s="49" t="s">
        <v>189</v>
      </c>
    </row>
    <row r="58" spans="1:15">
      <c r="B58" s="79"/>
      <c r="C58" s="79"/>
      <c r="K58" s="53"/>
      <c r="L58" s="53"/>
      <c r="M58" s="49" t="s">
        <v>154</v>
      </c>
    </row>
    <row r="60" spans="1:15">
      <c r="K60" s="49">
        <v>200</v>
      </c>
      <c r="M60" s="49" t="s">
        <v>155</v>
      </c>
    </row>
    <row r="61" spans="1:15">
      <c r="K61" s="49">
        <f>SUM(K53:K60)</f>
        <v>3550</v>
      </c>
      <c r="M61" s="49" t="s">
        <v>73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12" sqref="A12"/>
    </sheetView>
  </sheetViews>
  <sheetFormatPr defaultRowHeight="15"/>
  <cols>
    <col min="1" max="1" width="11.5703125" bestFit="1" customWidth="1"/>
    <col min="2" max="2" width="20.7109375" bestFit="1" customWidth="1"/>
    <col min="3" max="4" width="10.5703125" bestFit="1" customWidth="1"/>
    <col min="5" max="5" width="37.42578125" customWidth="1"/>
  </cols>
  <sheetData>
    <row r="1" spans="1:5">
      <c r="A1" s="2" t="s">
        <v>32</v>
      </c>
    </row>
    <row r="2" spans="1:5">
      <c r="A2" s="14" t="s">
        <v>200</v>
      </c>
    </row>
    <row r="4" spans="1:5">
      <c r="B4" t="s">
        <v>40</v>
      </c>
      <c r="C4" t="s">
        <v>41</v>
      </c>
      <c r="D4" t="s">
        <v>42</v>
      </c>
    </row>
    <row r="5" spans="1:5" ht="90">
      <c r="A5" s="24" t="s">
        <v>38</v>
      </c>
      <c r="B5" s="24">
        <v>10</v>
      </c>
      <c r="C5" s="26">
        <v>7400</v>
      </c>
      <c r="D5" s="26">
        <f>C5/B5</f>
        <v>740</v>
      </c>
      <c r="E5" s="31" t="s">
        <v>43</v>
      </c>
    </row>
    <row r="6" spans="1:5">
      <c r="A6" s="24" t="s">
        <v>39</v>
      </c>
      <c r="B6" s="24">
        <v>3</v>
      </c>
      <c r="C6" s="26">
        <v>8164</v>
      </c>
      <c r="D6" s="26">
        <f>C6/B6</f>
        <v>2721.3333333333335</v>
      </c>
      <c r="E6" s="24" t="s">
        <v>44</v>
      </c>
    </row>
    <row r="8" spans="1:5">
      <c r="A8" t="s">
        <v>205</v>
      </c>
    </row>
    <row r="9" spans="1:5">
      <c r="A9" s="23">
        <f>D6*B5</f>
        <v>27213.333333333336</v>
      </c>
    </row>
    <row r="11" spans="1:5">
      <c r="A11" t="s">
        <v>206</v>
      </c>
    </row>
    <row r="12" spans="1:5">
      <c r="A12" s="27">
        <f>A9-7400</f>
        <v>19813.333333333336</v>
      </c>
    </row>
  </sheetData>
  <phoneticPr fontId="6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topLeftCell="A4" workbookViewId="0">
      <selection activeCell="E9" sqref="E9"/>
    </sheetView>
  </sheetViews>
  <sheetFormatPr defaultRowHeight="15"/>
  <cols>
    <col min="1" max="1" width="20.7109375" customWidth="1"/>
    <col min="2" max="3" width="11.5703125" bestFit="1" customWidth="1"/>
    <col min="4" max="4" width="9" style="22" customWidth="1"/>
    <col min="5" max="5" width="12.140625" bestFit="1" customWidth="1"/>
    <col min="6" max="6" width="11.42578125" customWidth="1"/>
    <col min="7" max="7" width="19.7109375" customWidth="1"/>
  </cols>
  <sheetData>
    <row r="1" spans="1:7">
      <c r="A1" t="s">
        <v>106</v>
      </c>
    </row>
    <row r="2" spans="1:7">
      <c r="A2" t="s">
        <v>97</v>
      </c>
    </row>
    <row r="4" spans="1:7" s="18" customFormat="1" ht="75">
      <c r="B4" s="42" t="s">
        <v>94</v>
      </c>
      <c r="C4" s="43" t="s">
        <v>95</v>
      </c>
      <c r="D4" s="44" t="s">
        <v>100</v>
      </c>
      <c r="E4" s="43" t="s">
        <v>109</v>
      </c>
      <c r="F4" s="43" t="s">
        <v>107</v>
      </c>
    </row>
    <row r="5" spans="1:7" ht="45" customHeight="1">
      <c r="A5" s="24" t="s">
        <v>96</v>
      </c>
      <c r="B5" s="24">
        <v>81.3</v>
      </c>
      <c r="C5" s="24">
        <v>83.1</v>
      </c>
      <c r="D5" s="25">
        <f>(C5-B5)/B5</f>
        <v>2.2140221402213989E-2</v>
      </c>
      <c r="E5" s="24" t="s">
        <v>68</v>
      </c>
      <c r="F5" s="24" t="s">
        <v>68</v>
      </c>
      <c r="G5" s="20"/>
    </row>
    <row r="6" spans="1:7" s="18" customFormat="1" ht="45" customHeight="1">
      <c r="A6" s="28" t="s">
        <v>98</v>
      </c>
      <c r="B6" s="29">
        <v>1840</v>
      </c>
      <c r="C6" s="29">
        <v>2643</v>
      </c>
      <c r="D6" s="30">
        <f t="shared" ref="D6:D14" si="0">(C6-B6)/B6</f>
        <v>0.43641304347826088</v>
      </c>
      <c r="E6" s="28" t="s">
        <v>68</v>
      </c>
      <c r="F6" s="28" t="s">
        <v>68</v>
      </c>
      <c r="G6" s="45" t="s">
        <v>108</v>
      </c>
    </row>
    <row r="7" spans="1:7" s="18" customFormat="1" ht="45" customHeight="1">
      <c r="A7" s="31" t="s">
        <v>99</v>
      </c>
      <c r="B7" s="32">
        <v>5609</v>
      </c>
      <c r="C7" s="32">
        <v>6686</v>
      </c>
      <c r="D7" s="33">
        <f t="shared" si="0"/>
        <v>0.19201283651274736</v>
      </c>
      <c r="E7" s="31" t="s">
        <v>68</v>
      </c>
      <c r="F7" s="31" t="s">
        <v>68</v>
      </c>
      <c r="G7" s="45" t="s">
        <v>108</v>
      </c>
    </row>
    <row r="8" spans="1:7" s="18" customFormat="1" ht="48.75">
      <c r="A8" s="34" t="s">
        <v>212</v>
      </c>
      <c r="B8" s="35">
        <v>9800</v>
      </c>
      <c r="C8" s="35">
        <v>7400</v>
      </c>
      <c r="D8" s="36">
        <f t="shared" si="0"/>
        <v>-0.24489795918367346</v>
      </c>
      <c r="E8" s="37">
        <f>B8+(0.44*B8)</f>
        <v>14112</v>
      </c>
      <c r="F8" s="37">
        <f>E8-C8</f>
        <v>6712</v>
      </c>
      <c r="G8" s="45" t="s">
        <v>101</v>
      </c>
    </row>
    <row r="9" spans="1:7" s="18" customFormat="1" ht="48.75">
      <c r="A9" s="34" t="s">
        <v>213</v>
      </c>
      <c r="B9" s="35">
        <f>SUM(B10:B14)</f>
        <v>71760</v>
      </c>
      <c r="C9" s="35">
        <f>SUM(C10:C14)</f>
        <v>90450.55</v>
      </c>
      <c r="D9" s="36">
        <f t="shared" si="0"/>
        <v>0.26045916945373471</v>
      </c>
      <c r="E9" s="37">
        <f>B9+(0.44*B9)</f>
        <v>103334.39999999999</v>
      </c>
      <c r="F9" s="37">
        <f>E9-C9</f>
        <v>12883.849999999991</v>
      </c>
      <c r="G9" s="46" t="s">
        <v>101</v>
      </c>
    </row>
    <row r="10" spans="1:7" s="18" customFormat="1" ht="45" customHeight="1">
      <c r="A10" s="31" t="s">
        <v>214</v>
      </c>
      <c r="B10" s="32">
        <v>39864</v>
      </c>
      <c r="C10" s="32">
        <v>49020</v>
      </c>
      <c r="D10" s="33">
        <f t="shared" si="0"/>
        <v>0.2296809151113787</v>
      </c>
      <c r="E10" s="31" t="s">
        <v>68</v>
      </c>
      <c r="F10" s="31" t="s">
        <v>68</v>
      </c>
      <c r="G10" s="45" t="s">
        <v>103</v>
      </c>
    </row>
    <row r="11" spans="1:7" s="18" customFormat="1" ht="45" customHeight="1">
      <c r="A11" s="31" t="s">
        <v>215</v>
      </c>
      <c r="B11" s="32">
        <v>12116</v>
      </c>
      <c r="C11" s="32">
        <v>18900.55</v>
      </c>
      <c r="D11" s="33">
        <f>(C11-B11)/B11</f>
        <v>0.55996616044899306</v>
      </c>
      <c r="E11" s="31" t="s">
        <v>68</v>
      </c>
      <c r="F11" s="31" t="s">
        <v>68</v>
      </c>
      <c r="G11" s="45" t="s">
        <v>103</v>
      </c>
    </row>
    <row r="12" spans="1:7" s="18" customFormat="1" ht="45" customHeight="1">
      <c r="A12" s="31" t="s">
        <v>216</v>
      </c>
      <c r="B12" s="32">
        <f>44484-39864</f>
        <v>4620</v>
      </c>
      <c r="C12" s="32">
        <v>9770</v>
      </c>
      <c r="D12" s="33">
        <f t="shared" si="0"/>
        <v>1.1147186147186148</v>
      </c>
      <c r="E12" s="31" t="s">
        <v>68</v>
      </c>
      <c r="F12" s="31" t="s">
        <v>68</v>
      </c>
      <c r="G12" s="45" t="s">
        <v>104</v>
      </c>
    </row>
    <row r="13" spans="1:7" s="38" customFormat="1" ht="45" customHeight="1">
      <c r="A13" s="39" t="s">
        <v>217</v>
      </c>
      <c r="B13" s="40">
        <v>10360</v>
      </c>
      <c r="C13" s="40">
        <v>7960</v>
      </c>
      <c r="D13" s="41">
        <f t="shared" si="0"/>
        <v>-0.23166023166023167</v>
      </c>
      <c r="E13" s="39" t="s">
        <v>68</v>
      </c>
      <c r="F13" s="39" t="s">
        <v>68</v>
      </c>
      <c r="G13" s="46" t="s">
        <v>105</v>
      </c>
    </row>
    <row r="14" spans="1:7" s="18" customFormat="1" ht="45" customHeight="1">
      <c r="A14" s="31" t="s">
        <v>218</v>
      </c>
      <c r="B14" s="32">
        <v>4800</v>
      </c>
      <c r="C14" s="32">
        <v>4800</v>
      </c>
      <c r="D14" s="33">
        <f t="shared" si="0"/>
        <v>0</v>
      </c>
      <c r="E14" s="39" t="s">
        <v>68</v>
      </c>
      <c r="F14" s="39" t="s">
        <v>68</v>
      </c>
      <c r="G14" s="45" t="s">
        <v>102</v>
      </c>
    </row>
  </sheetData>
  <pageMargins left="0" right="0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I24"/>
  <sheetViews>
    <sheetView zoomScaleNormal="100" workbookViewId="0">
      <selection activeCell="H12" sqref="H12"/>
    </sheetView>
  </sheetViews>
  <sheetFormatPr defaultRowHeight="15"/>
  <cols>
    <col min="1" max="1" width="65.85546875" bestFit="1" customWidth="1"/>
    <col min="5" max="5" width="10.5703125" bestFit="1" customWidth="1"/>
    <col min="7" max="7" width="11.140625" bestFit="1" customWidth="1"/>
    <col min="257" max="257" width="65.85546875" bestFit="1" customWidth="1"/>
    <col min="261" max="261" width="10.5703125" bestFit="1" customWidth="1"/>
    <col min="263" max="263" width="11.140625" bestFit="1" customWidth="1"/>
    <col min="513" max="513" width="65.85546875" bestFit="1" customWidth="1"/>
    <col min="517" max="517" width="10.5703125" bestFit="1" customWidth="1"/>
    <col min="519" max="519" width="11.140625" bestFit="1" customWidth="1"/>
    <col min="769" max="769" width="65.85546875" bestFit="1" customWidth="1"/>
    <col min="773" max="773" width="10.5703125" bestFit="1" customWidth="1"/>
    <col min="775" max="775" width="11.140625" bestFit="1" customWidth="1"/>
    <col min="1025" max="1025" width="65.85546875" bestFit="1" customWidth="1"/>
    <col min="1029" max="1029" width="10.5703125" bestFit="1" customWidth="1"/>
    <col min="1031" max="1031" width="11.140625" bestFit="1" customWidth="1"/>
    <col min="1281" max="1281" width="65.85546875" bestFit="1" customWidth="1"/>
    <col min="1285" max="1285" width="10.5703125" bestFit="1" customWidth="1"/>
    <col min="1287" max="1287" width="11.140625" bestFit="1" customWidth="1"/>
    <col min="1537" max="1537" width="65.85546875" bestFit="1" customWidth="1"/>
    <col min="1541" max="1541" width="10.5703125" bestFit="1" customWidth="1"/>
    <col min="1543" max="1543" width="11.140625" bestFit="1" customWidth="1"/>
    <col min="1793" max="1793" width="65.85546875" bestFit="1" customWidth="1"/>
    <col min="1797" max="1797" width="10.5703125" bestFit="1" customWidth="1"/>
    <col min="1799" max="1799" width="11.140625" bestFit="1" customWidth="1"/>
    <col min="2049" max="2049" width="65.85546875" bestFit="1" customWidth="1"/>
    <col min="2053" max="2053" width="10.5703125" bestFit="1" customWidth="1"/>
    <col min="2055" max="2055" width="11.140625" bestFit="1" customWidth="1"/>
    <col min="2305" max="2305" width="65.85546875" bestFit="1" customWidth="1"/>
    <col min="2309" max="2309" width="10.5703125" bestFit="1" customWidth="1"/>
    <col min="2311" max="2311" width="11.140625" bestFit="1" customWidth="1"/>
    <col min="2561" max="2561" width="65.85546875" bestFit="1" customWidth="1"/>
    <col min="2565" max="2565" width="10.5703125" bestFit="1" customWidth="1"/>
    <col min="2567" max="2567" width="11.140625" bestFit="1" customWidth="1"/>
    <col min="2817" max="2817" width="65.85546875" bestFit="1" customWidth="1"/>
    <col min="2821" max="2821" width="10.5703125" bestFit="1" customWidth="1"/>
    <col min="2823" max="2823" width="11.140625" bestFit="1" customWidth="1"/>
    <col min="3073" max="3073" width="65.85546875" bestFit="1" customWidth="1"/>
    <col min="3077" max="3077" width="10.5703125" bestFit="1" customWidth="1"/>
    <col min="3079" max="3079" width="11.140625" bestFit="1" customWidth="1"/>
    <col min="3329" max="3329" width="65.85546875" bestFit="1" customWidth="1"/>
    <col min="3333" max="3333" width="10.5703125" bestFit="1" customWidth="1"/>
    <col min="3335" max="3335" width="11.140625" bestFit="1" customWidth="1"/>
    <col min="3585" max="3585" width="65.85546875" bestFit="1" customWidth="1"/>
    <col min="3589" max="3589" width="10.5703125" bestFit="1" customWidth="1"/>
    <col min="3591" max="3591" width="11.140625" bestFit="1" customWidth="1"/>
    <col min="3841" max="3841" width="65.85546875" bestFit="1" customWidth="1"/>
    <col min="3845" max="3845" width="10.5703125" bestFit="1" customWidth="1"/>
    <col min="3847" max="3847" width="11.140625" bestFit="1" customWidth="1"/>
    <col min="4097" max="4097" width="65.85546875" bestFit="1" customWidth="1"/>
    <col min="4101" max="4101" width="10.5703125" bestFit="1" customWidth="1"/>
    <col min="4103" max="4103" width="11.140625" bestFit="1" customWidth="1"/>
    <col min="4353" max="4353" width="65.85546875" bestFit="1" customWidth="1"/>
    <col min="4357" max="4357" width="10.5703125" bestFit="1" customWidth="1"/>
    <col min="4359" max="4359" width="11.140625" bestFit="1" customWidth="1"/>
    <col min="4609" max="4609" width="65.85546875" bestFit="1" customWidth="1"/>
    <col min="4613" max="4613" width="10.5703125" bestFit="1" customWidth="1"/>
    <col min="4615" max="4615" width="11.140625" bestFit="1" customWidth="1"/>
    <col min="4865" max="4865" width="65.85546875" bestFit="1" customWidth="1"/>
    <col min="4869" max="4869" width="10.5703125" bestFit="1" customWidth="1"/>
    <col min="4871" max="4871" width="11.140625" bestFit="1" customWidth="1"/>
    <col min="5121" max="5121" width="65.85546875" bestFit="1" customWidth="1"/>
    <col min="5125" max="5125" width="10.5703125" bestFit="1" customWidth="1"/>
    <col min="5127" max="5127" width="11.140625" bestFit="1" customWidth="1"/>
    <col min="5377" max="5377" width="65.85546875" bestFit="1" customWidth="1"/>
    <col min="5381" max="5381" width="10.5703125" bestFit="1" customWidth="1"/>
    <col min="5383" max="5383" width="11.140625" bestFit="1" customWidth="1"/>
    <col min="5633" max="5633" width="65.85546875" bestFit="1" customWidth="1"/>
    <col min="5637" max="5637" width="10.5703125" bestFit="1" customWidth="1"/>
    <col min="5639" max="5639" width="11.140625" bestFit="1" customWidth="1"/>
    <col min="5889" max="5889" width="65.85546875" bestFit="1" customWidth="1"/>
    <col min="5893" max="5893" width="10.5703125" bestFit="1" customWidth="1"/>
    <col min="5895" max="5895" width="11.140625" bestFit="1" customWidth="1"/>
    <col min="6145" max="6145" width="65.85546875" bestFit="1" customWidth="1"/>
    <col min="6149" max="6149" width="10.5703125" bestFit="1" customWidth="1"/>
    <col min="6151" max="6151" width="11.140625" bestFit="1" customWidth="1"/>
    <col min="6401" max="6401" width="65.85546875" bestFit="1" customWidth="1"/>
    <col min="6405" max="6405" width="10.5703125" bestFit="1" customWidth="1"/>
    <col min="6407" max="6407" width="11.140625" bestFit="1" customWidth="1"/>
    <col min="6657" max="6657" width="65.85546875" bestFit="1" customWidth="1"/>
    <col min="6661" max="6661" width="10.5703125" bestFit="1" customWidth="1"/>
    <col min="6663" max="6663" width="11.140625" bestFit="1" customWidth="1"/>
    <col min="6913" max="6913" width="65.85546875" bestFit="1" customWidth="1"/>
    <col min="6917" max="6917" width="10.5703125" bestFit="1" customWidth="1"/>
    <col min="6919" max="6919" width="11.140625" bestFit="1" customWidth="1"/>
    <col min="7169" max="7169" width="65.85546875" bestFit="1" customWidth="1"/>
    <col min="7173" max="7173" width="10.5703125" bestFit="1" customWidth="1"/>
    <col min="7175" max="7175" width="11.140625" bestFit="1" customWidth="1"/>
    <col min="7425" max="7425" width="65.85546875" bestFit="1" customWidth="1"/>
    <col min="7429" max="7429" width="10.5703125" bestFit="1" customWidth="1"/>
    <col min="7431" max="7431" width="11.140625" bestFit="1" customWidth="1"/>
    <col min="7681" max="7681" width="65.85546875" bestFit="1" customWidth="1"/>
    <col min="7685" max="7685" width="10.5703125" bestFit="1" customWidth="1"/>
    <col min="7687" max="7687" width="11.140625" bestFit="1" customWidth="1"/>
    <col min="7937" max="7937" width="65.85546875" bestFit="1" customWidth="1"/>
    <col min="7941" max="7941" width="10.5703125" bestFit="1" customWidth="1"/>
    <col min="7943" max="7943" width="11.140625" bestFit="1" customWidth="1"/>
    <col min="8193" max="8193" width="65.85546875" bestFit="1" customWidth="1"/>
    <col min="8197" max="8197" width="10.5703125" bestFit="1" customWidth="1"/>
    <col min="8199" max="8199" width="11.140625" bestFit="1" customWidth="1"/>
    <col min="8449" max="8449" width="65.85546875" bestFit="1" customWidth="1"/>
    <col min="8453" max="8453" width="10.5703125" bestFit="1" customWidth="1"/>
    <col min="8455" max="8455" width="11.140625" bestFit="1" customWidth="1"/>
    <col min="8705" max="8705" width="65.85546875" bestFit="1" customWidth="1"/>
    <col min="8709" max="8709" width="10.5703125" bestFit="1" customWidth="1"/>
    <col min="8711" max="8711" width="11.140625" bestFit="1" customWidth="1"/>
    <col min="8961" max="8961" width="65.85546875" bestFit="1" customWidth="1"/>
    <col min="8965" max="8965" width="10.5703125" bestFit="1" customWidth="1"/>
    <col min="8967" max="8967" width="11.140625" bestFit="1" customWidth="1"/>
    <col min="9217" max="9217" width="65.85546875" bestFit="1" customWidth="1"/>
    <col min="9221" max="9221" width="10.5703125" bestFit="1" customWidth="1"/>
    <col min="9223" max="9223" width="11.140625" bestFit="1" customWidth="1"/>
    <col min="9473" max="9473" width="65.85546875" bestFit="1" customWidth="1"/>
    <col min="9477" max="9477" width="10.5703125" bestFit="1" customWidth="1"/>
    <col min="9479" max="9479" width="11.140625" bestFit="1" customWidth="1"/>
    <col min="9729" max="9729" width="65.85546875" bestFit="1" customWidth="1"/>
    <col min="9733" max="9733" width="10.5703125" bestFit="1" customWidth="1"/>
    <col min="9735" max="9735" width="11.140625" bestFit="1" customWidth="1"/>
    <col min="9985" max="9985" width="65.85546875" bestFit="1" customWidth="1"/>
    <col min="9989" max="9989" width="10.5703125" bestFit="1" customWidth="1"/>
    <col min="9991" max="9991" width="11.140625" bestFit="1" customWidth="1"/>
    <col min="10241" max="10241" width="65.85546875" bestFit="1" customWidth="1"/>
    <col min="10245" max="10245" width="10.5703125" bestFit="1" customWidth="1"/>
    <col min="10247" max="10247" width="11.140625" bestFit="1" customWidth="1"/>
    <col min="10497" max="10497" width="65.85546875" bestFit="1" customWidth="1"/>
    <col min="10501" max="10501" width="10.5703125" bestFit="1" customWidth="1"/>
    <col min="10503" max="10503" width="11.140625" bestFit="1" customWidth="1"/>
    <col min="10753" max="10753" width="65.85546875" bestFit="1" customWidth="1"/>
    <col min="10757" max="10757" width="10.5703125" bestFit="1" customWidth="1"/>
    <col min="10759" max="10759" width="11.140625" bestFit="1" customWidth="1"/>
    <col min="11009" max="11009" width="65.85546875" bestFit="1" customWidth="1"/>
    <col min="11013" max="11013" width="10.5703125" bestFit="1" customWidth="1"/>
    <col min="11015" max="11015" width="11.140625" bestFit="1" customWidth="1"/>
    <col min="11265" max="11265" width="65.85546875" bestFit="1" customWidth="1"/>
    <col min="11269" max="11269" width="10.5703125" bestFit="1" customWidth="1"/>
    <col min="11271" max="11271" width="11.140625" bestFit="1" customWidth="1"/>
    <col min="11521" max="11521" width="65.85546875" bestFit="1" customWidth="1"/>
    <col min="11525" max="11525" width="10.5703125" bestFit="1" customWidth="1"/>
    <col min="11527" max="11527" width="11.140625" bestFit="1" customWidth="1"/>
    <col min="11777" max="11777" width="65.85546875" bestFit="1" customWidth="1"/>
    <col min="11781" max="11781" width="10.5703125" bestFit="1" customWidth="1"/>
    <col min="11783" max="11783" width="11.140625" bestFit="1" customWidth="1"/>
    <col min="12033" max="12033" width="65.85546875" bestFit="1" customWidth="1"/>
    <col min="12037" max="12037" width="10.5703125" bestFit="1" customWidth="1"/>
    <col min="12039" max="12039" width="11.140625" bestFit="1" customWidth="1"/>
    <col min="12289" max="12289" width="65.85546875" bestFit="1" customWidth="1"/>
    <col min="12293" max="12293" width="10.5703125" bestFit="1" customWidth="1"/>
    <col min="12295" max="12295" width="11.140625" bestFit="1" customWidth="1"/>
    <col min="12545" max="12545" width="65.85546875" bestFit="1" customWidth="1"/>
    <col min="12549" max="12549" width="10.5703125" bestFit="1" customWidth="1"/>
    <col min="12551" max="12551" width="11.140625" bestFit="1" customWidth="1"/>
    <col min="12801" max="12801" width="65.85546875" bestFit="1" customWidth="1"/>
    <col min="12805" max="12805" width="10.5703125" bestFit="1" customWidth="1"/>
    <col min="12807" max="12807" width="11.140625" bestFit="1" customWidth="1"/>
    <col min="13057" max="13057" width="65.85546875" bestFit="1" customWidth="1"/>
    <col min="13061" max="13061" width="10.5703125" bestFit="1" customWidth="1"/>
    <col min="13063" max="13063" width="11.140625" bestFit="1" customWidth="1"/>
    <col min="13313" max="13313" width="65.85546875" bestFit="1" customWidth="1"/>
    <col min="13317" max="13317" width="10.5703125" bestFit="1" customWidth="1"/>
    <col min="13319" max="13319" width="11.140625" bestFit="1" customWidth="1"/>
    <col min="13569" max="13569" width="65.85546875" bestFit="1" customWidth="1"/>
    <col min="13573" max="13573" width="10.5703125" bestFit="1" customWidth="1"/>
    <col min="13575" max="13575" width="11.140625" bestFit="1" customWidth="1"/>
    <col min="13825" max="13825" width="65.85546875" bestFit="1" customWidth="1"/>
    <col min="13829" max="13829" width="10.5703125" bestFit="1" customWidth="1"/>
    <col min="13831" max="13831" width="11.140625" bestFit="1" customWidth="1"/>
    <col min="14081" max="14081" width="65.85546875" bestFit="1" customWidth="1"/>
    <col min="14085" max="14085" width="10.5703125" bestFit="1" customWidth="1"/>
    <col min="14087" max="14087" width="11.140625" bestFit="1" customWidth="1"/>
    <col min="14337" max="14337" width="65.85546875" bestFit="1" customWidth="1"/>
    <col min="14341" max="14341" width="10.5703125" bestFit="1" customWidth="1"/>
    <col min="14343" max="14343" width="11.140625" bestFit="1" customWidth="1"/>
    <col min="14593" max="14593" width="65.85546875" bestFit="1" customWidth="1"/>
    <col min="14597" max="14597" width="10.5703125" bestFit="1" customWidth="1"/>
    <col min="14599" max="14599" width="11.140625" bestFit="1" customWidth="1"/>
    <col min="14849" max="14849" width="65.85546875" bestFit="1" customWidth="1"/>
    <col min="14853" max="14853" width="10.5703125" bestFit="1" customWidth="1"/>
    <col min="14855" max="14855" width="11.140625" bestFit="1" customWidth="1"/>
    <col min="15105" max="15105" width="65.85546875" bestFit="1" customWidth="1"/>
    <col min="15109" max="15109" width="10.5703125" bestFit="1" customWidth="1"/>
    <col min="15111" max="15111" width="11.140625" bestFit="1" customWidth="1"/>
    <col min="15361" max="15361" width="65.85546875" bestFit="1" customWidth="1"/>
    <col min="15365" max="15365" width="10.5703125" bestFit="1" customWidth="1"/>
    <col min="15367" max="15367" width="11.140625" bestFit="1" customWidth="1"/>
    <col min="15617" max="15617" width="65.85546875" bestFit="1" customWidth="1"/>
    <col min="15621" max="15621" width="10.5703125" bestFit="1" customWidth="1"/>
    <col min="15623" max="15623" width="11.140625" bestFit="1" customWidth="1"/>
    <col min="15873" max="15873" width="65.85546875" bestFit="1" customWidth="1"/>
    <col min="15877" max="15877" width="10.5703125" bestFit="1" customWidth="1"/>
    <col min="15879" max="15879" width="11.140625" bestFit="1" customWidth="1"/>
    <col min="16129" max="16129" width="65.85546875" bestFit="1" customWidth="1"/>
    <col min="16133" max="16133" width="10.5703125" bestFit="1" customWidth="1"/>
    <col min="16135" max="16135" width="11.140625" bestFit="1" customWidth="1"/>
  </cols>
  <sheetData>
    <row r="3" spans="1:9">
      <c r="A3" t="s">
        <v>156</v>
      </c>
    </row>
    <row r="4" spans="1:9">
      <c r="A4" t="s">
        <v>157</v>
      </c>
    </row>
    <row r="5" spans="1:9">
      <c r="A5" t="s">
        <v>158</v>
      </c>
    </row>
    <row r="6" spans="1:9">
      <c r="A6" s="6" t="s">
        <v>159</v>
      </c>
      <c r="B6" s="80">
        <v>2500</v>
      </c>
      <c r="C6" s="6" t="s">
        <v>160</v>
      </c>
      <c r="D6" s="6"/>
      <c r="E6" s="6"/>
      <c r="I6" s="81">
        <f>H11+H12</f>
        <v>5031</v>
      </c>
    </row>
    <row r="7" spans="1:9">
      <c r="A7" t="s">
        <v>161</v>
      </c>
      <c r="B7" s="81">
        <v>4000</v>
      </c>
      <c r="C7" t="s">
        <v>160</v>
      </c>
    </row>
    <row r="10" spans="1:9">
      <c r="B10" t="s">
        <v>162</v>
      </c>
      <c r="C10" t="s">
        <v>163</v>
      </c>
      <c r="D10" t="s">
        <v>164</v>
      </c>
      <c r="E10" t="s">
        <v>165</v>
      </c>
      <c r="F10" t="s">
        <v>166</v>
      </c>
      <c r="G10" t="s">
        <v>167</v>
      </c>
      <c r="H10" t="s">
        <v>168</v>
      </c>
    </row>
    <row r="11" spans="1:9" s="2" customFormat="1">
      <c r="A11" s="2" t="s">
        <v>180</v>
      </c>
      <c r="B11" s="2">
        <v>13</v>
      </c>
      <c r="C11" s="2">
        <v>19</v>
      </c>
      <c r="D11" s="2">
        <v>37</v>
      </c>
      <c r="E11" s="2">
        <f>C11*D11</f>
        <v>703</v>
      </c>
      <c r="F11" s="83">
        <f>E11*B11</f>
        <v>9139</v>
      </c>
      <c r="G11" s="84">
        <f>9100*0.75</f>
        <v>6825</v>
      </c>
      <c r="H11" s="84">
        <f>9100-G11+(F11-9100)</f>
        <v>2314</v>
      </c>
      <c r="I11" s="2" t="s">
        <v>255</v>
      </c>
    </row>
    <row r="12" spans="1:9" s="2" customFormat="1">
      <c r="A12" s="2" t="s">
        <v>181</v>
      </c>
      <c r="B12" s="2">
        <v>13</v>
      </c>
      <c r="C12" s="2">
        <v>19</v>
      </c>
      <c r="D12" s="2">
        <v>11</v>
      </c>
      <c r="E12" s="2">
        <f>C12*D12</f>
        <v>209</v>
      </c>
      <c r="F12" s="83">
        <f>E12*B12</f>
        <v>2717</v>
      </c>
      <c r="G12" s="84"/>
      <c r="H12" s="84">
        <f>F12-G12</f>
        <v>2717</v>
      </c>
    </row>
    <row r="13" spans="1:9" s="2" customFormat="1">
      <c r="A13" s="2" t="s">
        <v>169</v>
      </c>
      <c r="B13" s="2">
        <v>12</v>
      </c>
      <c r="C13" s="2">
        <v>10</v>
      </c>
      <c r="D13" s="2">
        <v>30</v>
      </c>
      <c r="E13" s="2">
        <f>D13*C13</f>
        <v>300</v>
      </c>
      <c r="F13" s="83">
        <f>E13*B13</f>
        <v>3600</v>
      </c>
      <c r="G13" s="84"/>
      <c r="H13" s="84">
        <f>F13-G13</f>
        <v>3600</v>
      </c>
    </row>
    <row r="14" spans="1:9" s="2" customFormat="1">
      <c r="A14" s="2" t="s">
        <v>170</v>
      </c>
      <c r="B14" s="2">
        <v>10</v>
      </c>
      <c r="C14" s="2">
        <v>3</v>
      </c>
      <c r="D14" s="2">
        <v>30</v>
      </c>
      <c r="E14" s="82">
        <f>D14*3*C14</f>
        <v>270</v>
      </c>
      <c r="F14" s="84">
        <f>E14*B14</f>
        <v>2700</v>
      </c>
      <c r="G14" s="84">
        <f>900*0.75</f>
        <v>675</v>
      </c>
      <c r="H14" s="84">
        <f>(900-G14) +1800</f>
        <v>2025</v>
      </c>
      <c r="I14" s="2" t="s">
        <v>244</v>
      </c>
    </row>
    <row r="15" spans="1:9">
      <c r="E15" s="3" t="s">
        <v>73</v>
      </c>
      <c r="F15" s="3">
        <f>SUM(F11:F14)</f>
        <v>18156</v>
      </c>
      <c r="G15" s="85">
        <f>SUM(G11:G14)</f>
        <v>7500</v>
      </c>
      <c r="H15" s="85">
        <f>SUM(H11:H13)</f>
        <v>8631</v>
      </c>
    </row>
    <row r="17" spans="1:9">
      <c r="A17" t="s">
        <v>171</v>
      </c>
    </row>
    <row r="18" spans="1:9">
      <c r="A18" t="s">
        <v>172</v>
      </c>
    </row>
    <row r="19" spans="1:9">
      <c r="F19" t="s">
        <v>173</v>
      </c>
    </row>
    <row r="20" spans="1:9">
      <c r="F20" t="s">
        <v>174</v>
      </c>
      <c r="H20" s="81">
        <v>9100</v>
      </c>
    </row>
    <row r="21" spans="1:9">
      <c r="F21" t="s">
        <v>175</v>
      </c>
      <c r="H21" s="81"/>
      <c r="I21" t="s">
        <v>176</v>
      </c>
    </row>
    <row r="22" spans="1:9">
      <c r="F22" s="21" t="s">
        <v>177</v>
      </c>
      <c r="H22">
        <v>0</v>
      </c>
      <c r="I22" t="s">
        <v>178</v>
      </c>
    </row>
    <row r="23" spans="1:9">
      <c r="F23" t="s">
        <v>179</v>
      </c>
      <c r="H23">
        <v>900</v>
      </c>
    </row>
    <row r="24" spans="1:9">
      <c r="H24" s="81">
        <f>10000-SUM(H20:H23)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H10" sqref="H10"/>
    </sheetView>
  </sheetViews>
  <sheetFormatPr defaultRowHeight="15"/>
  <cols>
    <col min="1" max="1" width="43.42578125" style="49" customWidth="1"/>
    <col min="2" max="2" width="13.28515625" style="49" customWidth="1"/>
    <col min="3" max="3" width="14.42578125" style="49" customWidth="1"/>
    <col min="4" max="4" width="12.85546875" style="49" customWidth="1"/>
    <col min="5" max="8" width="9.140625" style="49"/>
  </cols>
  <sheetData>
    <row r="1" spans="1:8">
      <c r="A1" s="47" t="s">
        <v>93</v>
      </c>
      <c r="B1" s="47"/>
      <c r="C1" s="47"/>
      <c r="D1" s="47"/>
      <c r="E1" s="47"/>
      <c r="F1" s="47"/>
      <c r="G1" s="47"/>
      <c r="H1" s="47"/>
    </row>
    <row r="2" spans="1:8">
      <c r="A2" s="47" t="s">
        <v>192</v>
      </c>
      <c r="B2" s="47"/>
      <c r="C2" s="47"/>
      <c r="D2" s="47"/>
      <c r="E2" s="47"/>
      <c r="F2" s="47"/>
      <c r="G2" s="47"/>
      <c r="H2" s="47"/>
    </row>
    <row r="3" spans="1:8">
      <c r="A3" s="47"/>
      <c r="B3" s="47"/>
      <c r="C3" s="47"/>
      <c r="D3" s="47"/>
      <c r="E3" s="47"/>
      <c r="F3" s="47"/>
      <c r="G3" s="47"/>
      <c r="H3" s="47"/>
    </row>
    <row r="4" spans="1:8">
      <c r="B4" s="86" t="s">
        <v>16</v>
      </c>
      <c r="C4" s="114" t="s">
        <v>17</v>
      </c>
      <c r="D4" s="49" t="s">
        <v>0</v>
      </c>
    </row>
    <row r="5" spans="1:8">
      <c r="A5" s="47" t="s">
        <v>46</v>
      </c>
      <c r="B5" s="87"/>
      <c r="C5" s="115"/>
    </row>
    <row r="6" spans="1:8">
      <c r="A6" s="49" t="s">
        <v>47</v>
      </c>
      <c r="B6" s="88">
        <v>49020</v>
      </c>
      <c r="C6" s="116">
        <f>49020+(49020*0.03)</f>
        <v>50490.6</v>
      </c>
      <c r="D6" s="49" t="s">
        <v>115</v>
      </c>
    </row>
    <row r="7" spans="1:8">
      <c r="A7" s="49" t="s">
        <v>194</v>
      </c>
      <c r="B7" s="88">
        <v>0</v>
      </c>
      <c r="C7" s="116">
        <v>4500</v>
      </c>
      <c r="D7" s="49" t="s">
        <v>195</v>
      </c>
    </row>
    <row r="8" spans="1:8">
      <c r="A8" s="49" t="s">
        <v>119</v>
      </c>
      <c r="B8" s="88">
        <v>2160</v>
      </c>
      <c r="C8" s="116">
        <v>0</v>
      </c>
      <c r="D8" s="49" t="s">
        <v>120</v>
      </c>
    </row>
    <row r="9" spans="1:8">
      <c r="A9" s="49" t="s">
        <v>122</v>
      </c>
      <c r="B9" s="88">
        <v>0</v>
      </c>
      <c r="C9" s="116">
        <v>2700</v>
      </c>
      <c r="D9" s="49" t="s">
        <v>182</v>
      </c>
    </row>
    <row r="10" spans="1:8">
      <c r="A10" s="57" t="s">
        <v>48</v>
      </c>
      <c r="B10" s="88">
        <v>1463</v>
      </c>
      <c r="C10" s="116">
        <v>500</v>
      </c>
      <c r="D10" s="49" t="s">
        <v>123</v>
      </c>
    </row>
    <row r="11" spans="1:8">
      <c r="A11" s="57" t="s">
        <v>124</v>
      </c>
      <c r="B11" s="88">
        <v>2650</v>
      </c>
      <c r="C11" s="116">
        <v>2700</v>
      </c>
      <c r="D11" s="49" t="s">
        <v>183</v>
      </c>
    </row>
    <row r="12" spans="1:8">
      <c r="A12" s="57" t="s">
        <v>126</v>
      </c>
      <c r="B12" s="88">
        <v>2147</v>
      </c>
      <c r="C12" s="116">
        <f>12*10*30</f>
        <v>3600</v>
      </c>
      <c r="D12" s="49" t="s">
        <v>127</v>
      </c>
    </row>
    <row r="13" spans="1:8">
      <c r="A13" s="58" t="s">
        <v>49</v>
      </c>
      <c r="B13" s="89">
        <f>450+900</f>
        <v>1350</v>
      </c>
      <c r="C13" s="117">
        <v>675</v>
      </c>
      <c r="D13" s="58" t="s">
        <v>128</v>
      </c>
      <c r="E13" s="58"/>
      <c r="F13" s="58"/>
      <c r="G13" s="58"/>
      <c r="H13" s="58"/>
    </row>
    <row r="14" spans="1:8">
      <c r="A14" s="60" t="s">
        <v>5</v>
      </c>
      <c r="B14" s="90">
        <f>SUM(B6:B13)</f>
        <v>58790</v>
      </c>
      <c r="C14" s="118">
        <f>SUM(C6:C13)</f>
        <v>65165.599999999999</v>
      </c>
      <c r="D14" s="62">
        <f>C14-B14</f>
        <v>6375.5999999999985</v>
      </c>
      <c r="E14" s="47" t="s">
        <v>50</v>
      </c>
    </row>
    <row r="15" spans="1:8">
      <c r="A15" s="47" t="s">
        <v>51</v>
      </c>
      <c r="B15" s="88"/>
      <c r="C15" s="116"/>
    </row>
    <row r="16" spans="1:8">
      <c r="A16" s="58" t="s">
        <v>52</v>
      </c>
      <c r="B16" s="89">
        <v>18900.55</v>
      </c>
      <c r="C16" s="119">
        <f>18900.55+1336</f>
        <v>20236.55</v>
      </c>
      <c r="D16" s="49" t="s">
        <v>129</v>
      </c>
    </row>
    <row r="17" spans="1:8">
      <c r="A17" s="60" t="s">
        <v>5</v>
      </c>
      <c r="B17" s="92">
        <f>SUM(B16:B16)</f>
        <v>18900.55</v>
      </c>
      <c r="C17" s="118">
        <f>SUM(C16:C16)</f>
        <v>20236.55</v>
      </c>
      <c r="D17" s="62">
        <f>C17-B17</f>
        <v>1336</v>
      </c>
      <c r="E17" s="47" t="s">
        <v>50</v>
      </c>
    </row>
    <row r="18" spans="1:8">
      <c r="A18" s="47" t="s">
        <v>53</v>
      </c>
      <c r="B18" s="88"/>
      <c r="C18" s="118"/>
    </row>
    <row r="19" spans="1:8">
      <c r="A19" s="66" t="s">
        <v>54</v>
      </c>
      <c r="B19" s="93"/>
      <c r="C19" s="120"/>
      <c r="D19" s="68"/>
      <c r="E19" s="68"/>
      <c r="F19" s="68"/>
      <c r="G19" s="68"/>
    </row>
    <row r="20" spans="1:8">
      <c r="A20" s="69" t="s">
        <v>55</v>
      </c>
      <c r="B20" s="94">
        <v>161</v>
      </c>
      <c r="C20" s="121">
        <v>250</v>
      </c>
      <c r="D20" s="69"/>
      <c r="E20" s="69"/>
      <c r="F20" s="69"/>
      <c r="G20" s="69"/>
      <c r="H20" s="69"/>
    </row>
    <row r="21" spans="1:8">
      <c r="A21" s="71" t="s">
        <v>56</v>
      </c>
      <c r="B21" s="89">
        <v>0</v>
      </c>
      <c r="C21" s="119">
        <v>250</v>
      </c>
      <c r="D21" s="53"/>
      <c r="E21" s="53"/>
      <c r="F21" s="53"/>
      <c r="G21" s="53"/>
      <c r="H21" s="53"/>
    </row>
    <row r="22" spans="1:8">
      <c r="A22" s="60" t="s">
        <v>5</v>
      </c>
      <c r="B22" s="92">
        <f>SUM(B20:B21)</f>
        <v>161</v>
      </c>
      <c r="C22" s="118">
        <f>SUM(C20:C21)</f>
        <v>500</v>
      </c>
      <c r="D22" s="62">
        <f>C22-B22</f>
        <v>339</v>
      </c>
      <c r="E22" s="47" t="s">
        <v>50</v>
      </c>
    </row>
    <row r="23" spans="1:8">
      <c r="A23" s="72" t="s">
        <v>57</v>
      </c>
      <c r="B23" s="93"/>
      <c r="C23" s="120"/>
      <c r="D23" s="68"/>
      <c r="E23" s="68"/>
      <c r="F23" s="68"/>
      <c r="G23" s="68"/>
    </row>
    <row r="24" spans="1:8">
      <c r="A24" s="53" t="s">
        <v>134</v>
      </c>
      <c r="B24" s="88">
        <v>67</v>
      </c>
      <c r="C24" s="116">
        <v>1200</v>
      </c>
      <c r="D24" s="53" t="s">
        <v>135</v>
      </c>
      <c r="E24" s="53"/>
      <c r="F24" s="53"/>
      <c r="G24" s="53"/>
      <c r="H24" s="53"/>
    </row>
    <row r="25" spans="1:8">
      <c r="A25" s="53" t="s">
        <v>58</v>
      </c>
      <c r="B25" s="88">
        <v>225</v>
      </c>
      <c r="C25" s="116">
        <v>300</v>
      </c>
      <c r="D25" s="53" t="s">
        <v>136</v>
      </c>
      <c r="E25" s="53"/>
      <c r="F25" s="53"/>
      <c r="G25" s="53"/>
      <c r="H25" s="53"/>
    </row>
    <row r="26" spans="1:8">
      <c r="A26" s="53" t="s">
        <v>137</v>
      </c>
      <c r="B26" s="88">
        <v>50</v>
      </c>
      <c r="C26" s="121">
        <v>60</v>
      </c>
      <c r="D26" s="53"/>
      <c r="E26" s="53"/>
      <c r="F26" s="53"/>
      <c r="G26" s="53"/>
      <c r="H26" s="53"/>
    </row>
    <row r="27" spans="1:8">
      <c r="A27" s="53" t="s">
        <v>59</v>
      </c>
      <c r="B27" s="88">
        <v>650</v>
      </c>
      <c r="C27" s="116">
        <v>2100</v>
      </c>
      <c r="D27" s="53" t="s">
        <v>186</v>
      </c>
      <c r="E27" s="53"/>
      <c r="F27" s="53"/>
      <c r="G27" s="53"/>
      <c r="H27" s="53"/>
    </row>
    <row r="28" spans="1:8">
      <c r="A28" s="53" t="s">
        <v>60</v>
      </c>
      <c r="B28" s="88">
        <v>0</v>
      </c>
      <c r="C28" s="116">
        <v>2100</v>
      </c>
      <c r="D28" s="53" t="s">
        <v>191</v>
      </c>
      <c r="E28" s="53"/>
      <c r="F28" s="53"/>
      <c r="G28" s="53"/>
      <c r="H28" s="53"/>
    </row>
    <row r="29" spans="1:8">
      <c r="A29" s="53" t="s">
        <v>61</v>
      </c>
      <c r="B29" s="88">
        <f>1260+333</f>
        <v>1593</v>
      </c>
      <c r="C29" s="116">
        <v>10000</v>
      </c>
      <c r="D29" s="53" t="s">
        <v>190</v>
      </c>
      <c r="E29" s="53"/>
      <c r="F29" s="53"/>
      <c r="G29" s="53"/>
      <c r="H29" s="53"/>
    </row>
    <row r="30" spans="1:8">
      <c r="A30" s="53" t="s">
        <v>63</v>
      </c>
      <c r="B30" s="88">
        <v>1590</v>
      </c>
      <c r="C30" s="116">
        <v>2000</v>
      </c>
      <c r="D30" s="53" t="s">
        <v>138</v>
      </c>
      <c r="E30" s="53"/>
      <c r="F30" s="53"/>
      <c r="G30" s="53"/>
      <c r="H30" s="53"/>
    </row>
    <row r="31" spans="1:8">
      <c r="A31" s="53" t="s">
        <v>139</v>
      </c>
      <c r="B31" s="88">
        <f>98*3</f>
        <v>294</v>
      </c>
      <c r="C31" s="116">
        <f>392*3</f>
        <v>1176</v>
      </c>
      <c r="D31" s="53" t="s">
        <v>140</v>
      </c>
      <c r="E31" s="53"/>
      <c r="F31" s="53"/>
      <c r="G31" s="53"/>
      <c r="H31" s="53"/>
    </row>
    <row r="32" spans="1:8">
      <c r="A32" s="53" t="s">
        <v>141</v>
      </c>
      <c r="B32" s="88">
        <v>1230</v>
      </c>
      <c r="C32" s="116">
        <v>5000</v>
      </c>
      <c r="D32" s="53" t="s">
        <v>188</v>
      </c>
      <c r="E32" s="53"/>
      <c r="F32" s="53"/>
      <c r="G32" s="53"/>
      <c r="H32" s="53"/>
    </row>
    <row r="33" spans="1:8">
      <c r="A33" s="71" t="s">
        <v>66</v>
      </c>
      <c r="B33" s="89">
        <v>4500</v>
      </c>
      <c r="C33" s="119">
        <v>5000</v>
      </c>
      <c r="D33" s="53" t="s">
        <v>193</v>
      </c>
      <c r="E33" s="53"/>
      <c r="F33" s="53"/>
      <c r="G33" s="53"/>
      <c r="H33" s="53"/>
    </row>
    <row r="34" spans="1:8">
      <c r="A34" s="60" t="s">
        <v>5</v>
      </c>
      <c r="B34" s="92">
        <f>SUM(B24:B33)</f>
        <v>10199</v>
      </c>
      <c r="C34" s="118">
        <f>SUM(C24:C33)</f>
        <v>28936</v>
      </c>
      <c r="D34" s="62">
        <f>C34-B34</f>
        <v>18737</v>
      </c>
      <c r="E34" s="47" t="s">
        <v>50</v>
      </c>
    </row>
    <row r="35" spans="1:8">
      <c r="A35" s="72" t="s">
        <v>69</v>
      </c>
      <c r="B35" s="88"/>
      <c r="C35" s="116"/>
      <c r="D35" s="68"/>
      <c r="E35" s="68"/>
      <c r="F35" s="68"/>
      <c r="G35" s="68"/>
    </row>
    <row r="36" spans="1:8">
      <c r="A36" s="53" t="s">
        <v>70</v>
      </c>
      <c r="B36" s="88">
        <v>300</v>
      </c>
      <c r="C36" s="116">
        <v>500</v>
      </c>
      <c r="D36" s="53" t="s">
        <v>184</v>
      </c>
      <c r="E36" s="53"/>
      <c r="F36" s="53"/>
      <c r="G36" s="53"/>
      <c r="H36" s="53"/>
    </row>
    <row r="37" spans="1:8">
      <c r="A37" s="53" t="s">
        <v>72</v>
      </c>
      <c r="B37" s="88">
        <v>440</v>
      </c>
      <c r="C37" s="116">
        <v>450</v>
      </c>
      <c r="D37" s="53"/>
      <c r="E37" s="53"/>
      <c r="F37" s="53"/>
      <c r="G37" s="53"/>
      <c r="H37" s="53"/>
    </row>
    <row r="38" spans="1:8">
      <c r="A38" s="53" t="s">
        <v>142</v>
      </c>
      <c r="B38" s="88">
        <v>70</v>
      </c>
      <c r="C38" s="116">
        <f>7.45*12+30</f>
        <v>119.4</v>
      </c>
      <c r="D38" s="53" t="s">
        <v>143</v>
      </c>
      <c r="E38" s="53"/>
      <c r="F38" s="53"/>
      <c r="G38" s="53"/>
      <c r="H38" s="53"/>
    </row>
    <row r="39" spans="1:8">
      <c r="A39" s="53" t="s">
        <v>74</v>
      </c>
      <c r="B39" s="88">
        <v>0</v>
      </c>
      <c r="C39" s="116">
        <v>300</v>
      </c>
      <c r="D39" s="53" t="s">
        <v>75</v>
      </c>
      <c r="E39" s="53"/>
      <c r="F39" s="53"/>
      <c r="G39" s="53"/>
      <c r="H39" s="53"/>
    </row>
    <row r="40" spans="1:8">
      <c r="A40" s="53" t="s">
        <v>144</v>
      </c>
      <c r="B40" s="88">
        <v>0</v>
      </c>
      <c r="C40" s="116">
        <v>100</v>
      </c>
      <c r="D40" s="53" t="s">
        <v>185</v>
      </c>
      <c r="E40" s="53"/>
      <c r="F40" s="53"/>
      <c r="G40" s="53"/>
      <c r="H40" s="53"/>
    </row>
    <row r="41" spans="1:8">
      <c r="A41" s="53" t="s">
        <v>145</v>
      </c>
      <c r="B41" s="88">
        <v>0</v>
      </c>
      <c r="C41" s="121">
        <v>230</v>
      </c>
      <c r="D41" s="53" t="s">
        <v>146</v>
      </c>
      <c r="E41" s="53"/>
      <c r="F41" s="53"/>
      <c r="G41" s="53"/>
      <c r="H41" s="53"/>
    </row>
    <row r="42" spans="1:8">
      <c r="A42" s="71" t="s">
        <v>77</v>
      </c>
      <c r="B42" s="89">
        <v>0</v>
      </c>
      <c r="C42" s="119">
        <v>500</v>
      </c>
      <c r="D42" s="53"/>
      <c r="E42" s="53"/>
      <c r="F42" s="53"/>
      <c r="G42" s="53"/>
      <c r="H42" s="53"/>
    </row>
    <row r="43" spans="1:8">
      <c r="A43" s="60" t="s">
        <v>5</v>
      </c>
      <c r="B43" s="92">
        <f>SUM(B36:B42)</f>
        <v>810</v>
      </c>
      <c r="C43" s="118">
        <f>SUM(C36:C42)</f>
        <v>2199.4</v>
      </c>
      <c r="D43" s="62">
        <f>C43-B43</f>
        <v>1389.4</v>
      </c>
      <c r="E43" s="47" t="s">
        <v>50</v>
      </c>
    </row>
    <row r="44" spans="1:8">
      <c r="A44" s="66" t="s">
        <v>9</v>
      </c>
      <c r="B44" s="88"/>
      <c r="C44" s="116"/>
      <c r="D44" s="68"/>
      <c r="E44" s="68"/>
      <c r="F44" s="68"/>
      <c r="G44" s="68"/>
    </row>
    <row r="45" spans="1:8">
      <c r="A45" s="53" t="s">
        <v>81</v>
      </c>
      <c r="B45" s="88">
        <v>150</v>
      </c>
      <c r="C45" s="116">
        <v>150</v>
      </c>
      <c r="D45" s="49" t="s">
        <v>82</v>
      </c>
    </row>
    <row r="46" spans="1:8">
      <c r="A46" s="71" t="s">
        <v>83</v>
      </c>
      <c r="B46" s="89">
        <v>0</v>
      </c>
      <c r="C46" s="119">
        <v>1200</v>
      </c>
      <c r="D46" s="49" t="s">
        <v>196</v>
      </c>
    </row>
    <row r="47" spans="1:8">
      <c r="A47" s="60" t="s">
        <v>5</v>
      </c>
      <c r="B47" s="92">
        <f>SUM(B45:B46)</f>
        <v>150</v>
      </c>
      <c r="C47" s="118">
        <f>SUM(C45:C46)</f>
        <v>1350</v>
      </c>
      <c r="D47" s="62">
        <f>C47-B47</f>
        <v>1200</v>
      </c>
      <c r="E47" s="47" t="s">
        <v>50</v>
      </c>
    </row>
    <row r="48" spans="1:8">
      <c r="A48" s="72" t="s">
        <v>86</v>
      </c>
      <c r="B48" s="88"/>
      <c r="C48" s="116"/>
      <c r="D48" s="68"/>
      <c r="E48" s="68"/>
      <c r="F48" s="68"/>
      <c r="G48" s="68"/>
    </row>
    <row r="49" spans="1:8">
      <c r="A49" s="53" t="s">
        <v>147</v>
      </c>
      <c r="B49" s="88">
        <v>1100</v>
      </c>
      <c r="C49" s="116">
        <v>1200</v>
      </c>
      <c r="D49" s="74"/>
      <c r="E49" s="74"/>
      <c r="F49" s="74"/>
      <c r="G49" s="74"/>
      <c r="H49" s="53"/>
    </row>
    <row r="50" spans="1:8">
      <c r="A50" s="53" t="s">
        <v>87</v>
      </c>
      <c r="B50" s="88">
        <v>769</v>
      </c>
      <c r="C50" s="116">
        <v>1200</v>
      </c>
      <c r="D50" s="53" t="s">
        <v>88</v>
      </c>
      <c r="E50" s="53"/>
      <c r="F50" s="53"/>
      <c r="G50" s="53"/>
      <c r="H50" s="53"/>
    </row>
    <row r="51" spans="1:8">
      <c r="A51" s="71" t="s">
        <v>89</v>
      </c>
      <c r="B51" s="89">
        <v>1371</v>
      </c>
      <c r="C51" s="119">
        <v>1400</v>
      </c>
      <c r="D51" s="49" t="s">
        <v>90</v>
      </c>
    </row>
    <row r="52" spans="1:8">
      <c r="A52" s="60" t="s">
        <v>5</v>
      </c>
      <c r="B52" s="92">
        <f>SUM(B49:B51)</f>
        <v>3240</v>
      </c>
      <c r="C52" s="118">
        <f>SUM(C49:C51)</f>
        <v>3800</v>
      </c>
      <c r="D52" s="62">
        <f>C52-B52</f>
        <v>560</v>
      </c>
      <c r="E52" s="47" t="s">
        <v>50</v>
      </c>
    </row>
    <row r="53" spans="1:8" s="3" customFormat="1">
      <c r="A53" s="60"/>
      <c r="B53" s="92"/>
      <c r="C53" s="118"/>
      <c r="D53" s="53"/>
      <c r="E53" s="53"/>
      <c r="F53" s="53"/>
      <c r="G53" s="53"/>
      <c r="H53" s="53"/>
    </row>
    <row r="54" spans="1:8">
      <c r="A54" s="75" t="s">
        <v>91</v>
      </c>
      <c r="B54" s="93">
        <f>B22+B34+B43+B47+B52</f>
        <v>14560</v>
      </c>
      <c r="C54" s="120">
        <f>C52+C47+C43+C34+C22</f>
        <v>36785.4</v>
      </c>
      <c r="D54" s="76">
        <f>C54-B54</f>
        <v>22225.4</v>
      </c>
      <c r="E54" s="68" t="s">
        <v>92</v>
      </c>
    </row>
    <row r="55" spans="1:8">
      <c r="A55" s="77" t="s">
        <v>14</v>
      </c>
      <c r="B55" s="95">
        <f>B54+B17+B14</f>
        <v>92250.55</v>
      </c>
      <c r="C55" s="122">
        <f>SUM(C52+C47+C43+C34+C22+C17+C14)</f>
        <v>122187.54999999999</v>
      </c>
      <c r="D55" s="62">
        <f>C55-B55</f>
        <v>29936.999999999985</v>
      </c>
      <c r="E55" s="47" t="s">
        <v>208</v>
      </c>
    </row>
    <row r="56" spans="1:8">
      <c r="A56" s="77"/>
      <c r="B56" s="100"/>
      <c r="C56" s="100"/>
      <c r="D56" s="62"/>
      <c r="E56" s="47"/>
    </row>
    <row r="57" spans="1:8">
      <c r="B57" s="79"/>
      <c r="C57" s="79"/>
    </row>
  </sheetData>
  <pageMargins left="0.7" right="0.7" top="0.75" bottom="0.7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A34" sqref="A1:XFD1048576"/>
    </sheetView>
  </sheetViews>
  <sheetFormatPr defaultRowHeight="15"/>
  <cols>
    <col min="1" max="1" width="36.7109375" customWidth="1"/>
    <col min="2" max="2" width="14.42578125" bestFit="1" customWidth="1"/>
    <col min="3" max="3" width="14.140625" bestFit="1" customWidth="1"/>
    <col min="4" max="4" width="11.28515625" customWidth="1"/>
  </cols>
  <sheetData>
    <row r="1" spans="1:5">
      <c r="A1" s="2" t="s">
        <v>15</v>
      </c>
    </row>
    <row r="2" spans="1:5">
      <c r="A2" s="2" t="s">
        <v>204</v>
      </c>
    </row>
    <row r="3" spans="1:5">
      <c r="A3" s="2"/>
    </row>
    <row r="4" spans="1:5">
      <c r="A4" s="2"/>
    </row>
    <row r="5" spans="1:5">
      <c r="B5" s="102" t="s">
        <v>16</v>
      </c>
      <c r="C5" s="12" t="s">
        <v>17</v>
      </c>
      <c r="D5" t="s">
        <v>0</v>
      </c>
    </row>
    <row r="6" spans="1:5">
      <c r="A6" s="2"/>
      <c r="B6" s="103"/>
      <c r="C6" s="11"/>
      <c r="D6" s="7"/>
    </row>
    <row r="7" spans="1:5">
      <c r="A7" s="2" t="s">
        <v>1</v>
      </c>
      <c r="B7" s="103"/>
      <c r="C7" s="11"/>
    </row>
    <row r="8" spans="1:5" s="3" customFormat="1">
      <c r="A8" s="3" t="s">
        <v>25</v>
      </c>
      <c r="B8" s="19">
        <v>2166</v>
      </c>
      <c r="C8" s="104">
        <v>3000</v>
      </c>
      <c r="D8" s="15" t="s">
        <v>197</v>
      </c>
    </row>
    <row r="9" spans="1:5" s="3" customFormat="1">
      <c r="A9" s="3" t="s">
        <v>2</v>
      </c>
      <c r="B9" s="19">
        <v>0</v>
      </c>
      <c r="C9" s="104">
        <v>3000</v>
      </c>
      <c r="D9" s="15" t="s">
        <v>198</v>
      </c>
    </row>
    <row r="10" spans="1:5">
      <c r="A10" t="s">
        <v>3</v>
      </c>
      <c r="B10" s="19">
        <v>734</v>
      </c>
      <c r="C10" s="63">
        <f>60*7*3</f>
        <v>1260</v>
      </c>
      <c r="D10" s="16" t="s">
        <v>18</v>
      </c>
    </row>
    <row r="11" spans="1:5">
      <c r="A11" t="s">
        <v>199</v>
      </c>
      <c r="B11" s="19">
        <v>0</v>
      </c>
      <c r="C11" s="63">
        <v>3500</v>
      </c>
      <c r="D11" s="16" t="s">
        <v>22</v>
      </c>
    </row>
    <row r="12" spans="1:5">
      <c r="A12" s="1" t="s">
        <v>4</v>
      </c>
      <c r="B12" s="105">
        <v>750</v>
      </c>
      <c r="C12" s="106">
        <f>150*2*16</f>
        <v>4800</v>
      </c>
      <c r="D12" s="16" t="s">
        <v>23</v>
      </c>
    </row>
    <row r="13" spans="1:5">
      <c r="A13" s="10" t="s">
        <v>5</v>
      </c>
      <c r="B13" s="107">
        <f>SUM(B8:B12)</f>
        <v>3650</v>
      </c>
      <c r="C13" s="108">
        <f>SUM(C8:C12)</f>
        <v>15560</v>
      </c>
      <c r="D13" s="62">
        <f>C13-B13</f>
        <v>11910</v>
      </c>
      <c r="E13" s="47" t="s">
        <v>50</v>
      </c>
    </row>
    <row r="14" spans="1:5">
      <c r="A14" s="2" t="s">
        <v>6</v>
      </c>
      <c r="B14" s="109"/>
      <c r="C14" s="63"/>
      <c r="D14" s="15"/>
    </row>
    <row r="15" spans="1:5">
      <c r="A15" t="s">
        <v>7</v>
      </c>
      <c r="B15" s="109">
        <f>540</f>
        <v>540</v>
      </c>
      <c r="C15" s="63">
        <v>1000</v>
      </c>
      <c r="D15" s="15" t="s">
        <v>209</v>
      </c>
    </row>
    <row r="16" spans="1:5">
      <c r="A16" t="s">
        <v>8</v>
      </c>
      <c r="B16" s="109">
        <v>0</v>
      </c>
      <c r="C16" s="63">
        <v>15000</v>
      </c>
      <c r="D16" s="15" t="s">
        <v>202</v>
      </c>
    </row>
    <row r="17" spans="1:6">
      <c r="A17" t="s">
        <v>20</v>
      </c>
      <c r="B17" s="109">
        <v>1680</v>
      </c>
      <c r="C17" s="63">
        <f>(80+160)*14</f>
        <v>3360</v>
      </c>
      <c r="D17" s="15" t="s">
        <v>203</v>
      </c>
    </row>
    <row r="18" spans="1:6">
      <c r="A18" s="1" t="s">
        <v>36</v>
      </c>
      <c r="B18" s="110">
        <v>150</v>
      </c>
      <c r="C18" s="106">
        <v>150</v>
      </c>
      <c r="D18" s="15"/>
    </row>
    <row r="19" spans="1:6">
      <c r="A19" s="9" t="s">
        <v>5</v>
      </c>
      <c r="B19" s="107">
        <f>SUM(B15:B18)</f>
        <v>2370</v>
      </c>
      <c r="C19" s="108">
        <f>SUM(C15:C18)</f>
        <v>19510</v>
      </c>
      <c r="D19" s="62">
        <f>C19-B19</f>
        <v>17140</v>
      </c>
      <c r="E19" s="47" t="s">
        <v>50</v>
      </c>
    </row>
    <row r="20" spans="1:6">
      <c r="A20" s="2" t="s">
        <v>9</v>
      </c>
      <c r="B20" s="109"/>
      <c r="C20" s="108"/>
      <c r="D20" s="15"/>
    </row>
    <row r="21" spans="1:6">
      <c r="A21" s="3" t="s">
        <v>10</v>
      </c>
      <c r="B21" s="109">
        <v>0</v>
      </c>
      <c r="C21" s="63">
        <v>0</v>
      </c>
      <c r="D21" s="15" t="s">
        <v>210</v>
      </c>
      <c r="F21" s="8"/>
    </row>
    <row r="22" spans="1:6">
      <c r="A22" s="3" t="s">
        <v>29</v>
      </c>
      <c r="B22" s="109">
        <v>350</v>
      </c>
      <c r="C22" s="63">
        <v>0</v>
      </c>
      <c r="D22" s="15" t="s">
        <v>30</v>
      </c>
      <c r="F22" s="8"/>
    </row>
    <row r="23" spans="1:6">
      <c r="A23" s="4" t="s">
        <v>11</v>
      </c>
      <c r="B23" s="110">
        <v>1690</v>
      </c>
      <c r="C23" s="106">
        <v>3000</v>
      </c>
      <c r="D23" s="17" t="s">
        <v>28</v>
      </c>
    </row>
    <row r="24" spans="1:6">
      <c r="A24" s="9" t="s">
        <v>5</v>
      </c>
      <c r="B24" s="107">
        <f>SUM(B21:B23)</f>
        <v>2040</v>
      </c>
      <c r="C24" s="111">
        <f>SUM(C21:C23)</f>
        <v>3000</v>
      </c>
      <c r="D24" s="62">
        <f>C24-B24</f>
        <v>960</v>
      </c>
      <c r="E24" s="47" t="s">
        <v>50</v>
      </c>
    </row>
    <row r="25" spans="1:6">
      <c r="A25" s="2" t="s">
        <v>12</v>
      </c>
      <c r="B25" s="109"/>
      <c r="C25" s="63"/>
      <c r="D25" s="15"/>
    </row>
    <row r="26" spans="1:6">
      <c r="A26" t="s">
        <v>13</v>
      </c>
      <c r="B26" s="109">
        <v>651</v>
      </c>
      <c r="C26" s="63">
        <v>500</v>
      </c>
      <c r="D26" s="16"/>
    </row>
    <row r="27" spans="1:6" s="3" customFormat="1">
      <c r="A27" s="3" t="s">
        <v>19</v>
      </c>
      <c r="B27" s="109">
        <v>194</v>
      </c>
      <c r="C27" s="104">
        <v>200</v>
      </c>
      <c r="D27" s="15" t="s">
        <v>31</v>
      </c>
    </row>
    <row r="28" spans="1:6">
      <c r="A28" s="1" t="s">
        <v>27</v>
      </c>
      <c r="B28" s="110">
        <v>5</v>
      </c>
      <c r="C28" s="106">
        <v>250</v>
      </c>
      <c r="D28" s="16"/>
    </row>
    <row r="29" spans="1:6">
      <c r="B29" s="107">
        <f>SUM(B26:B28)</f>
        <v>850</v>
      </c>
      <c r="C29" s="108">
        <f>SUM(C26:C28)</f>
        <v>950</v>
      </c>
      <c r="D29" s="62">
        <f>C29-B29</f>
        <v>100</v>
      </c>
      <c r="E29" s="47" t="s">
        <v>50</v>
      </c>
    </row>
    <row r="30" spans="1:6">
      <c r="B30" s="109"/>
      <c r="C30" s="63"/>
    </row>
    <row r="31" spans="1:6">
      <c r="A31" s="10" t="s">
        <v>14</v>
      </c>
      <c r="B31" s="112">
        <f>B13+B19+B24+B29</f>
        <v>8910</v>
      </c>
      <c r="C31" s="113">
        <f>C29+C24+C19+C13</f>
        <v>39020</v>
      </c>
      <c r="D31" s="62">
        <f>C31-B31</f>
        <v>30110</v>
      </c>
      <c r="E31" s="47" t="s">
        <v>207</v>
      </c>
    </row>
    <row r="32" spans="1:6">
      <c r="B32" s="5"/>
      <c r="C32" s="13"/>
      <c r="D32" s="5"/>
    </row>
    <row r="33" spans="1:4">
      <c r="A33" t="s">
        <v>211</v>
      </c>
      <c r="D33" s="8"/>
    </row>
  </sheetData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tabSelected="1" zoomScale="190" zoomScaleNormal="190" workbookViewId="0">
      <selection activeCell="A4" sqref="A4"/>
    </sheetView>
  </sheetViews>
  <sheetFormatPr defaultRowHeight="15"/>
  <cols>
    <col min="1" max="1" width="36.7109375" customWidth="1"/>
    <col min="2" max="2" width="14.42578125" bestFit="1" customWidth="1"/>
    <col min="3" max="3" width="14.140625" bestFit="1" customWidth="1"/>
    <col min="4" max="4" width="14.140625" customWidth="1"/>
    <col min="5" max="5" width="11.28515625" customWidth="1"/>
  </cols>
  <sheetData>
    <row r="1" spans="1:6">
      <c r="A1" s="2" t="s">
        <v>15</v>
      </c>
    </row>
    <row r="2" spans="1:6">
      <c r="A2" s="2" t="s">
        <v>204</v>
      </c>
    </row>
    <row r="3" spans="1:6">
      <c r="A3" s="2" t="s">
        <v>252</v>
      </c>
    </row>
    <row r="4" spans="1:6">
      <c r="A4" s="2" t="s">
        <v>256</v>
      </c>
    </row>
    <row r="5" spans="1:6">
      <c r="A5" s="2"/>
    </row>
    <row r="6" spans="1:6">
      <c r="B6" s="102" t="s">
        <v>16</v>
      </c>
      <c r="C6" s="12" t="s">
        <v>17</v>
      </c>
      <c r="D6" s="130" t="s">
        <v>235</v>
      </c>
      <c r="E6" t="s">
        <v>0</v>
      </c>
    </row>
    <row r="7" spans="1:6">
      <c r="A7" s="2"/>
      <c r="B7" s="103"/>
      <c r="C7" s="11"/>
      <c r="D7" s="131"/>
      <c r="E7" s="7"/>
    </row>
    <row r="8" spans="1:6">
      <c r="A8" s="2" t="s">
        <v>1</v>
      </c>
      <c r="B8" s="103"/>
      <c r="C8" s="11"/>
      <c r="D8" s="131"/>
    </row>
    <row r="9" spans="1:6" s="3" customFormat="1">
      <c r="A9" s="3" t="s">
        <v>25</v>
      </c>
      <c r="B9" s="19">
        <v>2166</v>
      </c>
      <c r="C9" s="104">
        <v>3000</v>
      </c>
      <c r="D9" s="132">
        <v>3000</v>
      </c>
      <c r="E9" s="15" t="s">
        <v>197</v>
      </c>
    </row>
    <row r="10" spans="1:6" s="3" customFormat="1">
      <c r="A10" s="3" t="s">
        <v>2</v>
      </c>
      <c r="B10" s="19">
        <v>0</v>
      </c>
      <c r="C10" s="104">
        <v>3000</v>
      </c>
      <c r="D10" s="132">
        <v>2000</v>
      </c>
      <c r="E10" s="15" t="s">
        <v>251</v>
      </c>
    </row>
    <row r="11" spans="1:6">
      <c r="A11" t="s">
        <v>3</v>
      </c>
      <c r="B11" s="19">
        <v>734</v>
      </c>
      <c r="C11" s="63">
        <f>60*7*3</f>
        <v>1260</v>
      </c>
      <c r="D11" s="132">
        <v>1260</v>
      </c>
      <c r="E11" s="16" t="s">
        <v>18</v>
      </c>
    </row>
    <row r="12" spans="1:6">
      <c r="A12" t="s">
        <v>199</v>
      </c>
      <c r="B12" s="19">
        <v>0</v>
      </c>
      <c r="C12" s="63">
        <v>3500</v>
      </c>
      <c r="D12" s="132">
        <v>0</v>
      </c>
      <c r="E12" s="16" t="s">
        <v>22</v>
      </c>
    </row>
    <row r="13" spans="1:6">
      <c r="A13" s="1" t="s">
        <v>4</v>
      </c>
      <c r="B13" s="105">
        <v>750</v>
      </c>
      <c r="C13" s="106">
        <f>150*2*16</f>
        <v>4800</v>
      </c>
      <c r="D13" s="137">
        <v>1500</v>
      </c>
      <c r="E13" s="16"/>
    </row>
    <row r="14" spans="1:6">
      <c r="A14" s="10" t="s">
        <v>5</v>
      </c>
      <c r="B14" s="107">
        <f>SUM(B9:B13)</f>
        <v>3650</v>
      </c>
      <c r="C14" s="108">
        <f>SUM(C9:C13)</f>
        <v>15560</v>
      </c>
      <c r="D14" s="133">
        <f>SUM(D9:D13)</f>
        <v>7760</v>
      </c>
      <c r="E14" s="62"/>
      <c r="F14" s="47"/>
    </row>
    <row r="15" spans="1:6">
      <c r="A15" s="2" t="s">
        <v>6</v>
      </c>
      <c r="B15" s="109"/>
      <c r="C15" s="63"/>
      <c r="D15" s="132"/>
      <c r="E15" s="15"/>
    </row>
    <row r="16" spans="1:6">
      <c r="A16" t="s">
        <v>7</v>
      </c>
      <c r="B16" s="109">
        <f>540</f>
        <v>540</v>
      </c>
      <c r="C16" s="63">
        <v>1000</v>
      </c>
      <c r="D16" s="132">
        <v>1000</v>
      </c>
      <c r="E16" s="15" t="s">
        <v>254</v>
      </c>
    </row>
    <row r="17" spans="1:7">
      <c r="A17" t="s">
        <v>8</v>
      </c>
      <c r="B17" s="109">
        <v>0</v>
      </c>
      <c r="C17" s="63">
        <v>15000</v>
      </c>
      <c r="D17" s="132">
        <v>6000</v>
      </c>
      <c r="E17" s="15" t="s">
        <v>236</v>
      </c>
    </row>
    <row r="18" spans="1:7">
      <c r="A18" t="s">
        <v>20</v>
      </c>
      <c r="B18" s="109">
        <v>1680</v>
      </c>
      <c r="C18" s="63">
        <f>(80+160)*14</f>
        <v>3360</v>
      </c>
      <c r="D18" s="132">
        <v>3360</v>
      </c>
      <c r="E18" s="15" t="s">
        <v>203</v>
      </c>
    </row>
    <row r="19" spans="1:7">
      <c r="A19" s="1" t="s">
        <v>36</v>
      </c>
      <c r="B19" s="110">
        <v>150</v>
      </c>
      <c r="C19" s="106">
        <v>150</v>
      </c>
      <c r="D19" s="137">
        <v>150</v>
      </c>
      <c r="E19" s="15"/>
    </row>
    <row r="20" spans="1:7">
      <c r="A20" s="9" t="s">
        <v>5</v>
      </c>
      <c r="B20" s="107">
        <f>SUM(B16:B19)</f>
        <v>2370</v>
      </c>
      <c r="C20" s="108">
        <f>SUM(C16:C19)</f>
        <v>19510</v>
      </c>
      <c r="D20" s="133">
        <f>SUM(D16:D19)</f>
        <v>10510</v>
      </c>
      <c r="E20" s="62"/>
      <c r="F20" s="47"/>
    </row>
    <row r="21" spans="1:7">
      <c r="A21" s="2" t="s">
        <v>9</v>
      </c>
      <c r="B21" s="109"/>
      <c r="C21" s="108"/>
      <c r="D21" s="134"/>
      <c r="E21" s="15"/>
    </row>
    <row r="22" spans="1:7">
      <c r="A22" s="4" t="s">
        <v>29</v>
      </c>
      <c r="B22" s="110">
        <v>350</v>
      </c>
      <c r="C22" s="106">
        <v>0</v>
      </c>
      <c r="D22" s="137">
        <v>0</v>
      </c>
      <c r="E22" s="15" t="s">
        <v>30</v>
      </c>
      <c r="G22" s="8"/>
    </row>
    <row r="23" spans="1:7">
      <c r="A23" s="9" t="s">
        <v>5</v>
      </c>
      <c r="B23" s="107">
        <f>SUM(B22:B22)</f>
        <v>350</v>
      </c>
      <c r="C23" s="111">
        <f>SUM(C22:C22)</f>
        <v>0</v>
      </c>
      <c r="D23" s="135"/>
      <c r="E23" s="62"/>
      <c r="F23" s="47"/>
    </row>
    <row r="24" spans="1:7">
      <c r="A24" s="2" t="s">
        <v>12</v>
      </c>
      <c r="B24" s="109"/>
      <c r="C24" s="63"/>
      <c r="D24" s="132"/>
      <c r="E24" s="15"/>
    </row>
    <row r="25" spans="1:7">
      <c r="A25" t="s">
        <v>13</v>
      </c>
      <c r="B25" s="109">
        <v>651</v>
      </c>
      <c r="C25" s="63">
        <v>500</v>
      </c>
      <c r="D25" s="132">
        <v>250</v>
      </c>
      <c r="E25" s="16"/>
    </row>
    <row r="26" spans="1:7" s="3" customFormat="1">
      <c r="A26" s="3" t="s">
        <v>19</v>
      </c>
      <c r="B26" s="109">
        <v>194</v>
      </c>
      <c r="C26" s="104">
        <v>200</v>
      </c>
      <c r="D26" s="132">
        <v>200</v>
      </c>
      <c r="E26" s="15" t="s">
        <v>31</v>
      </c>
    </row>
    <row r="27" spans="1:7">
      <c r="A27" s="1" t="s">
        <v>27</v>
      </c>
      <c r="B27" s="110">
        <v>5</v>
      </c>
      <c r="C27" s="106">
        <v>250</v>
      </c>
      <c r="D27" s="137">
        <v>250</v>
      </c>
      <c r="E27" s="16"/>
    </row>
    <row r="28" spans="1:7">
      <c r="B28" s="107">
        <f>SUM(B25:B27)</f>
        <v>850</v>
      </c>
      <c r="C28" s="108">
        <f>SUM(C25:C27)</f>
        <v>950</v>
      </c>
      <c r="D28" s="133">
        <f>SUM(D25:D27)</f>
        <v>700</v>
      </c>
      <c r="E28" s="62"/>
      <c r="F28" s="47"/>
    </row>
    <row r="29" spans="1:7">
      <c r="B29" s="109"/>
      <c r="C29" s="63"/>
      <c r="D29" s="132"/>
    </row>
    <row r="30" spans="1:7">
      <c r="A30" s="10" t="s">
        <v>14</v>
      </c>
      <c r="B30" s="112">
        <f>B14+B20+B23+B28</f>
        <v>7220</v>
      </c>
      <c r="C30" s="113">
        <f>C28+C23+C20+C14</f>
        <v>36020</v>
      </c>
      <c r="D30" s="136">
        <f>D28+D23+D20+D14</f>
        <v>18970</v>
      </c>
      <c r="E30" s="62">
        <f>D30-7400</f>
        <v>11570</v>
      </c>
      <c r="F30" s="47" t="s">
        <v>253</v>
      </c>
    </row>
    <row r="31" spans="1:7">
      <c r="B31" s="5"/>
      <c r="C31" s="13"/>
      <c r="D31" s="13"/>
      <c r="E31" s="5"/>
    </row>
    <row r="32" spans="1:7">
      <c r="A32" t="s">
        <v>211</v>
      </c>
      <c r="E32" s="8"/>
    </row>
  </sheetData>
  <pageMargins left="0.7" right="0.7" top="0.75" bottom="0.75" header="0.3" footer="0.3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5"/>
  <sheetViews>
    <sheetView zoomScale="190" zoomScaleNormal="190" workbookViewId="0">
      <selection activeCell="D11" sqref="D11"/>
    </sheetView>
  </sheetViews>
  <sheetFormatPr defaultRowHeight="15"/>
  <cols>
    <col min="1" max="1" width="37.28515625" style="49" customWidth="1"/>
    <col min="2" max="2" width="13.28515625" style="49" customWidth="1"/>
    <col min="3" max="4" width="14.42578125" style="49" customWidth="1"/>
    <col min="5" max="5" width="12.85546875" style="49" customWidth="1"/>
    <col min="6" max="7" width="9.140625" style="49"/>
  </cols>
  <sheetData>
    <row r="1" spans="1:7">
      <c r="A1" s="47" t="s">
        <v>93</v>
      </c>
      <c r="B1" s="47"/>
      <c r="C1" s="47"/>
      <c r="D1" s="47"/>
      <c r="E1" s="47"/>
      <c r="F1" s="47"/>
      <c r="G1" s="47"/>
    </row>
    <row r="2" spans="1:7">
      <c r="A2" s="47" t="s">
        <v>45</v>
      </c>
      <c r="B2" s="47"/>
      <c r="C2" s="47"/>
      <c r="D2" s="47"/>
      <c r="E2" s="47"/>
      <c r="F2" s="47"/>
      <c r="G2" s="47"/>
    </row>
    <row r="3" spans="1:7">
      <c r="A3" s="47" t="s">
        <v>242</v>
      </c>
      <c r="B3" s="47"/>
      <c r="C3" s="47"/>
      <c r="D3" s="47"/>
      <c r="E3" s="47"/>
      <c r="F3" s="47"/>
      <c r="G3" s="47"/>
    </row>
    <row r="4" spans="1:7">
      <c r="A4" s="47" t="s">
        <v>243</v>
      </c>
      <c r="B4" s="47"/>
      <c r="C4" s="47"/>
      <c r="D4" s="47"/>
      <c r="E4" s="47"/>
      <c r="F4" s="47"/>
      <c r="G4" s="47"/>
    </row>
    <row r="5" spans="1:7">
      <c r="B5" s="86" t="s">
        <v>16</v>
      </c>
      <c r="C5" s="50" t="s">
        <v>17</v>
      </c>
      <c r="D5" s="138" t="s">
        <v>219</v>
      </c>
      <c r="E5" s="49" t="s">
        <v>0</v>
      </c>
    </row>
    <row r="6" spans="1:7">
      <c r="A6" s="47" t="s">
        <v>238</v>
      </c>
      <c r="B6" s="87"/>
      <c r="C6" s="52"/>
      <c r="D6" s="139"/>
    </row>
    <row r="7" spans="1:7">
      <c r="A7" s="49" t="s">
        <v>47</v>
      </c>
      <c r="B7" s="88">
        <v>0</v>
      </c>
      <c r="C7" s="54">
        <v>0</v>
      </c>
      <c r="D7" s="140"/>
      <c r="E7" s="49" t="s">
        <v>220</v>
      </c>
    </row>
    <row r="8" spans="1:7">
      <c r="A8" s="49" t="s">
        <v>117</v>
      </c>
      <c r="B8" s="88">
        <v>0</v>
      </c>
      <c r="C8" s="97">
        <v>4500</v>
      </c>
      <c r="D8" s="140">
        <v>0</v>
      </c>
      <c r="E8" s="49" t="s">
        <v>226</v>
      </c>
    </row>
    <row r="9" spans="1:7">
      <c r="A9" s="49" t="s">
        <v>119</v>
      </c>
      <c r="B9" s="88">
        <v>2600</v>
      </c>
      <c r="C9" s="54">
        <v>0</v>
      </c>
      <c r="D9" s="140"/>
      <c r="E9" s="49" t="s">
        <v>120</v>
      </c>
    </row>
    <row r="10" spans="1:7">
      <c r="A10" s="49" t="s">
        <v>122</v>
      </c>
      <c r="B10" s="88">
        <v>0</v>
      </c>
      <c r="C10" s="54">
        <v>2700</v>
      </c>
      <c r="D10" s="140">
        <v>2314</v>
      </c>
      <c r="E10" s="49" t="s">
        <v>182</v>
      </c>
    </row>
    <row r="11" spans="1:7">
      <c r="A11" s="57" t="s">
        <v>48</v>
      </c>
      <c r="B11" s="88">
        <v>1463</v>
      </c>
      <c r="C11" s="54">
        <v>500</v>
      </c>
      <c r="D11" s="140">
        <v>500</v>
      </c>
      <c r="E11" s="49" t="s">
        <v>123</v>
      </c>
    </row>
    <row r="12" spans="1:7">
      <c r="A12" s="57" t="s">
        <v>245</v>
      </c>
      <c r="B12" s="88">
        <v>2650</v>
      </c>
      <c r="C12" s="54">
        <v>2700</v>
      </c>
      <c r="D12" s="140">
        <v>2717</v>
      </c>
      <c r="E12" s="49" t="s">
        <v>246</v>
      </c>
    </row>
    <row r="13" spans="1:7">
      <c r="A13" s="57" t="s">
        <v>126</v>
      </c>
      <c r="B13" s="88">
        <v>2700</v>
      </c>
      <c r="C13" s="54">
        <f>12*10*30</f>
        <v>3600</v>
      </c>
      <c r="D13" s="140">
        <v>3600</v>
      </c>
      <c r="E13" s="49" t="s">
        <v>127</v>
      </c>
    </row>
    <row r="14" spans="1:7">
      <c r="A14" s="57" t="s">
        <v>224</v>
      </c>
      <c r="B14" s="88">
        <v>310</v>
      </c>
      <c r="C14" s="54">
        <v>0</v>
      </c>
      <c r="D14" s="140">
        <v>0</v>
      </c>
      <c r="E14" s="49" t="s">
        <v>225</v>
      </c>
    </row>
    <row r="15" spans="1:7">
      <c r="A15" s="58" t="s">
        <v>49</v>
      </c>
      <c r="B15" s="89">
        <f>225+900+225+169</f>
        <v>1519</v>
      </c>
      <c r="C15" s="59">
        <v>675</v>
      </c>
      <c r="D15" s="141">
        <v>1350</v>
      </c>
      <c r="E15" s="58" t="s">
        <v>239</v>
      </c>
      <c r="F15" s="58"/>
      <c r="G15" s="58"/>
    </row>
    <row r="16" spans="1:7">
      <c r="A16" s="60" t="s">
        <v>5</v>
      </c>
      <c r="B16" s="90">
        <f>SUM(B7:B15)</f>
        <v>11242</v>
      </c>
      <c r="C16" s="61">
        <f>SUM(C7:C15)</f>
        <v>14675</v>
      </c>
      <c r="D16" s="123">
        <f>SUM(D7:D15)</f>
        <v>10481</v>
      </c>
      <c r="E16" s="62"/>
      <c r="F16" s="47"/>
    </row>
    <row r="17" spans="1:7" s="147" customFormat="1">
      <c r="A17" s="47" t="s">
        <v>54</v>
      </c>
      <c r="B17" s="88"/>
      <c r="C17" s="54"/>
      <c r="D17" s="140"/>
      <c r="E17" s="49"/>
      <c r="F17" s="49"/>
      <c r="G17" s="49"/>
    </row>
    <row r="18" spans="1:7">
      <c r="A18" s="69" t="s">
        <v>55</v>
      </c>
      <c r="B18" s="94">
        <v>161</v>
      </c>
      <c r="C18" s="70">
        <v>250</v>
      </c>
      <c r="D18" s="142">
        <v>250</v>
      </c>
      <c r="E18" s="69"/>
      <c r="F18" s="69"/>
      <c r="G18" s="69"/>
    </row>
    <row r="19" spans="1:7">
      <c r="A19" s="71" t="s">
        <v>56</v>
      </c>
      <c r="B19" s="89">
        <v>0</v>
      </c>
      <c r="C19" s="64">
        <v>250</v>
      </c>
      <c r="D19" s="143">
        <v>0</v>
      </c>
      <c r="E19" s="53"/>
      <c r="F19" s="53"/>
      <c r="G19" s="53"/>
    </row>
    <row r="20" spans="1:7">
      <c r="A20" s="60" t="s">
        <v>5</v>
      </c>
      <c r="B20" s="92">
        <f>SUM(B18:B19)</f>
        <v>161</v>
      </c>
      <c r="C20" s="61">
        <f>SUM(C18:C19)</f>
        <v>500</v>
      </c>
      <c r="D20" s="123">
        <f>SUM(D18:D19)</f>
        <v>250</v>
      </c>
      <c r="E20" s="62"/>
      <c r="F20" s="47"/>
    </row>
    <row r="21" spans="1:7">
      <c r="A21" s="148" t="s">
        <v>57</v>
      </c>
      <c r="B21" s="93"/>
      <c r="C21" s="67"/>
      <c r="D21" s="125"/>
      <c r="E21" s="68"/>
      <c r="F21" s="68"/>
      <c r="G21" s="68"/>
    </row>
    <row r="22" spans="1:7">
      <c r="A22" s="53" t="s">
        <v>134</v>
      </c>
      <c r="B22" s="88">
        <v>67</v>
      </c>
      <c r="C22" s="97">
        <v>1200</v>
      </c>
      <c r="D22" s="140">
        <v>1200</v>
      </c>
      <c r="E22" s="53" t="s">
        <v>247</v>
      </c>
      <c r="F22" s="53"/>
      <c r="G22" s="53"/>
    </row>
    <row r="23" spans="1:7">
      <c r="A23" s="53" t="s">
        <v>58</v>
      </c>
      <c r="B23" s="88">
        <v>225</v>
      </c>
      <c r="C23" s="54">
        <v>300</v>
      </c>
      <c r="D23" s="140">
        <v>300</v>
      </c>
      <c r="E23" s="53" t="s">
        <v>136</v>
      </c>
      <c r="F23" s="53"/>
      <c r="G23" s="53"/>
    </row>
    <row r="24" spans="1:7">
      <c r="A24" s="53" t="s">
        <v>137</v>
      </c>
      <c r="B24" s="88">
        <v>50</v>
      </c>
      <c r="C24" s="70">
        <v>60</v>
      </c>
      <c r="D24" s="142">
        <v>60</v>
      </c>
      <c r="E24" s="53"/>
      <c r="F24" s="53"/>
      <c r="G24" s="53"/>
    </row>
    <row r="25" spans="1:7">
      <c r="A25" s="53" t="s">
        <v>59</v>
      </c>
      <c r="B25" s="88">
        <v>700</v>
      </c>
      <c r="C25" s="97">
        <v>2100</v>
      </c>
      <c r="D25" s="140">
        <v>700</v>
      </c>
      <c r="E25" s="53" t="s">
        <v>227</v>
      </c>
      <c r="F25" s="53"/>
      <c r="G25" s="53"/>
    </row>
    <row r="26" spans="1:7">
      <c r="A26" s="53" t="s">
        <v>60</v>
      </c>
      <c r="B26" s="88">
        <v>0</v>
      </c>
      <c r="C26" s="97">
        <v>2100</v>
      </c>
      <c r="D26" s="140">
        <v>0</v>
      </c>
      <c r="E26" s="53" t="s">
        <v>191</v>
      </c>
      <c r="F26" s="53"/>
      <c r="G26" s="53"/>
    </row>
    <row r="27" spans="1:7">
      <c r="A27" s="53" t="s">
        <v>61</v>
      </c>
      <c r="B27" s="88">
        <f>1260+333</f>
        <v>1593</v>
      </c>
      <c r="C27" s="97">
        <v>10000</v>
      </c>
      <c r="D27" s="140">
        <v>7470</v>
      </c>
      <c r="E27" s="53" t="s">
        <v>249</v>
      </c>
      <c r="F27" s="53"/>
      <c r="G27" s="53"/>
    </row>
    <row r="28" spans="1:7">
      <c r="A28" s="53" t="s">
        <v>63</v>
      </c>
      <c r="B28" s="88">
        <v>1590</v>
      </c>
      <c r="C28" s="97">
        <v>2000</v>
      </c>
      <c r="D28" s="140">
        <v>2000</v>
      </c>
      <c r="E28" s="53" t="s">
        <v>138</v>
      </c>
      <c r="F28" s="53"/>
      <c r="G28" s="53"/>
    </row>
    <row r="29" spans="1:7">
      <c r="A29" s="53" t="s">
        <v>139</v>
      </c>
      <c r="B29" s="88">
        <f>98*3</f>
        <v>294</v>
      </c>
      <c r="C29" s="54">
        <f>392*3</f>
        <v>1176</v>
      </c>
      <c r="D29" s="140">
        <v>300</v>
      </c>
      <c r="E29" s="53" t="s">
        <v>140</v>
      </c>
      <c r="F29" s="53"/>
      <c r="G29" s="53"/>
    </row>
    <row r="30" spans="1:7">
      <c r="A30" s="53" t="s">
        <v>141</v>
      </c>
      <c r="B30" s="88">
        <v>1230</v>
      </c>
      <c r="C30" s="97">
        <v>5000</v>
      </c>
      <c r="D30" s="140">
        <v>3550</v>
      </c>
      <c r="E30" s="53" t="s">
        <v>248</v>
      </c>
      <c r="F30" s="53"/>
      <c r="G30" s="53"/>
    </row>
    <row r="31" spans="1:7">
      <c r="A31" s="71" t="s">
        <v>66</v>
      </c>
      <c r="B31" s="89">
        <v>4500</v>
      </c>
      <c r="C31" s="64">
        <v>5000</v>
      </c>
      <c r="D31" s="143">
        <v>4500</v>
      </c>
      <c r="E31" s="53" t="s">
        <v>67</v>
      </c>
      <c r="F31" s="53"/>
      <c r="G31" s="53"/>
    </row>
    <row r="32" spans="1:7">
      <c r="A32" s="60" t="s">
        <v>5</v>
      </c>
      <c r="B32" s="92">
        <f>SUM(B22:B31)</f>
        <v>10249</v>
      </c>
      <c r="C32" s="61">
        <f>SUM(C22:C31)</f>
        <v>28936</v>
      </c>
      <c r="D32" s="123">
        <f>SUM(D22:D31)</f>
        <v>20080</v>
      </c>
      <c r="E32" s="62"/>
      <c r="F32" s="47"/>
    </row>
    <row r="33" spans="1:7">
      <c r="A33" s="148" t="s">
        <v>69</v>
      </c>
      <c r="B33" s="88"/>
      <c r="C33" s="54"/>
      <c r="D33" s="140"/>
      <c r="E33" s="68"/>
      <c r="F33" s="68"/>
      <c r="G33" s="68"/>
    </row>
    <row r="34" spans="1:7">
      <c r="A34" s="53" t="s">
        <v>233</v>
      </c>
      <c r="B34" s="88">
        <v>1261</v>
      </c>
      <c r="C34" s="97">
        <v>800</v>
      </c>
      <c r="D34" s="140">
        <v>500</v>
      </c>
      <c r="E34" s="53" t="s">
        <v>184</v>
      </c>
      <c r="F34" s="53"/>
      <c r="G34" s="53"/>
    </row>
    <row r="35" spans="1:7">
      <c r="A35" s="53" t="s">
        <v>72</v>
      </c>
      <c r="B35" s="88">
        <v>500</v>
      </c>
      <c r="C35" s="54">
        <v>450</v>
      </c>
      <c r="D35" s="140">
        <v>450</v>
      </c>
      <c r="E35" s="53"/>
      <c r="F35" s="53"/>
      <c r="G35" s="53"/>
    </row>
    <row r="36" spans="1:7">
      <c r="A36" s="53" t="s">
        <v>142</v>
      </c>
      <c r="B36" s="88">
        <v>70</v>
      </c>
      <c r="C36" s="54">
        <f>7.45*12+30</f>
        <v>119.4</v>
      </c>
      <c r="D36" s="140">
        <v>120</v>
      </c>
      <c r="E36" s="53" t="s">
        <v>143</v>
      </c>
      <c r="F36" s="53"/>
      <c r="G36" s="53"/>
    </row>
    <row r="37" spans="1:7">
      <c r="A37" s="53" t="s">
        <v>250</v>
      </c>
      <c r="B37" s="88">
        <v>74</v>
      </c>
      <c r="C37" s="54">
        <v>0</v>
      </c>
      <c r="D37" s="140">
        <v>0</v>
      </c>
      <c r="E37" s="53"/>
      <c r="F37" s="53"/>
      <c r="G37" s="53"/>
    </row>
    <row r="38" spans="1:7">
      <c r="A38" s="53" t="s">
        <v>144</v>
      </c>
      <c r="B38" s="88">
        <v>0</v>
      </c>
      <c r="C38" s="54">
        <v>100</v>
      </c>
      <c r="D38" s="140">
        <v>100</v>
      </c>
      <c r="E38" s="53" t="s">
        <v>185</v>
      </c>
      <c r="F38" s="53"/>
      <c r="G38" s="53"/>
    </row>
    <row r="39" spans="1:7">
      <c r="A39" s="53" t="s">
        <v>145</v>
      </c>
      <c r="B39" s="88">
        <v>0</v>
      </c>
      <c r="C39" s="96">
        <v>230</v>
      </c>
      <c r="D39" s="142">
        <v>0</v>
      </c>
      <c r="E39" s="53" t="s">
        <v>234</v>
      </c>
      <c r="F39" s="53"/>
      <c r="G39" s="53"/>
    </row>
    <row r="40" spans="1:7">
      <c r="A40" s="71" t="s">
        <v>77</v>
      </c>
      <c r="B40" s="89">
        <v>0</v>
      </c>
      <c r="C40" s="64">
        <v>500</v>
      </c>
      <c r="D40" s="143">
        <v>250</v>
      </c>
      <c r="E40" s="53"/>
      <c r="F40" s="53"/>
      <c r="G40" s="53"/>
    </row>
    <row r="41" spans="1:7">
      <c r="A41" s="60" t="s">
        <v>5</v>
      </c>
      <c r="B41" s="92">
        <f>SUM(B34:B40)</f>
        <v>1905</v>
      </c>
      <c r="C41" s="61">
        <f>SUM(C34:C40)</f>
        <v>2199.4</v>
      </c>
      <c r="D41" s="123">
        <f>SUM(D34:D40)</f>
        <v>1420</v>
      </c>
      <c r="E41" s="62"/>
      <c r="F41" s="47"/>
    </row>
    <row r="42" spans="1:7">
      <c r="A42" s="47" t="s">
        <v>9</v>
      </c>
      <c r="B42" s="88"/>
      <c r="C42" s="54"/>
      <c r="D42" s="140"/>
      <c r="E42" s="68"/>
      <c r="F42" s="68"/>
      <c r="G42" s="68"/>
    </row>
    <row r="43" spans="1:7">
      <c r="A43" s="53" t="s">
        <v>81</v>
      </c>
      <c r="B43" s="88">
        <v>150</v>
      </c>
      <c r="C43" s="54">
        <v>150</v>
      </c>
      <c r="D43" s="140">
        <v>150</v>
      </c>
      <c r="E43" s="49" t="s">
        <v>82</v>
      </c>
    </row>
    <row r="44" spans="1:7">
      <c r="A44" s="53" t="s">
        <v>228</v>
      </c>
      <c r="B44" s="88">
        <v>3000</v>
      </c>
      <c r="C44" s="54"/>
      <c r="D44" s="140">
        <v>3000</v>
      </c>
    </row>
    <row r="45" spans="1:7">
      <c r="A45" s="53" t="s">
        <v>229</v>
      </c>
      <c r="B45" s="88"/>
      <c r="C45" s="54"/>
      <c r="D45" s="140">
        <v>3000</v>
      </c>
      <c r="E45" s="49" t="s">
        <v>230</v>
      </c>
    </row>
    <row r="46" spans="1:7">
      <c r="A46" s="71" t="s">
        <v>83</v>
      </c>
      <c r="B46" s="89">
        <v>0</v>
      </c>
      <c r="C46" s="64">
        <v>1200</v>
      </c>
      <c r="D46" s="143">
        <v>0</v>
      </c>
      <c r="E46" s="49" t="s">
        <v>231</v>
      </c>
    </row>
    <row r="47" spans="1:7">
      <c r="A47" s="60" t="s">
        <v>5</v>
      </c>
      <c r="B47" s="92">
        <f>SUM(B43:B46)</f>
        <v>3150</v>
      </c>
      <c r="C47" s="61">
        <f>SUM(C43:C46)</f>
        <v>1350</v>
      </c>
      <c r="D47" s="123">
        <f>SUM(D43:D46)</f>
        <v>6150</v>
      </c>
      <c r="E47" s="62"/>
      <c r="F47" s="47"/>
    </row>
    <row r="48" spans="1:7">
      <c r="A48" s="148" t="s">
        <v>86</v>
      </c>
      <c r="B48" s="88"/>
      <c r="C48" s="54"/>
      <c r="D48" s="140"/>
      <c r="E48" s="68"/>
      <c r="F48" s="68"/>
      <c r="G48" s="68"/>
    </row>
    <row r="49" spans="1:7">
      <c r="A49" s="53" t="s">
        <v>147</v>
      </c>
      <c r="B49" s="88">
        <v>1100</v>
      </c>
      <c r="C49" s="54">
        <v>1200</v>
      </c>
      <c r="D49" s="140">
        <v>1200</v>
      </c>
      <c r="E49" s="74"/>
      <c r="F49" s="74"/>
      <c r="G49" s="74"/>
    </row>
    <row r="50" spans="1:7">
      <c r="A50" s="53" t="s">
        <v>87</v>
      </c>
      <c r="B50" s="88">
        <v>769</v>
      </c>
      <c r="C50" s="54">
        <v>1200</v>
      </c>
      <c r="D50" s="140">
        <v>1500</v>
      </c>
      <c r="E50" s="53" t="s">
        <v>232</v>
      </c>
      <c r="F50" s="53"/>
      <c r="G50" s="53"/>
    </row>
    <row r="51" spans="1:7">
      <c r="A51" s="71" t="s">
        <v>89</v>
      </c>
      <c r="B51" s="89">
        <v>1400</v>
      </c>
      <c r="C51" s="64">
        <v>1400</v>
      </c>
      <c r="D51" s="143">
        <v>1400</v>
      </c>
      <c r="E51" s="49" t="s">
        <v>90</v>
      </c>
    </row>
    <row r="52" spans="1:7">
      <c r="A52" s="60" t="s">
        <v>5</v>
      </c>
      <c r="B52" s="92">
        <f>SUM(B49:B51)</f>
        <v>3269</v>
      </c>
      <c r="C52" s="101">
        <f>SUM(C49:C51)</f>
        <v>3800</v>
      </c>
      <c r="D52" s="124">
        <f>SUM(D49:D51)</f>
        <v>4100</v>
      </c>
    </row>
    <row r="53" spans="1:7">
      <c r="A53" s="77" t="s">
        <v>14</v>
      </c>
      <c r="B53" s="95">
        <f>B16+B20+B32+B41+B47+B52</f>
        <v>29976</v>
      </c>
      <c r="C53" s="127">
        <f>C16+C20+C32+C41+C47+C52</f>
        <v>51460.4</v>
      </c>
      <c r="D53" s="128">
        <f>D16+D20+D32+D41+D47+D52</f>
        <v>42481</v>
      </c>
      <c r="E53" s="62">
        <f>D53-26987</f>
        <v>15494</v>
      </c>
      <c r="F53" s="47" t="s">
        <v>237</v>
      </c>
    </row>
    <row r="54" spans="1:7">
      <c r="A54" s="77"/>
      <c r="B54" s="144"/>
      <c r="C54" s="145"/>
      <c r="D54" s="146"/>
      <c r="E54" s="62"/>
      <c r="F54" s="47"/>
    </row>
    <row r="55" spans="1:7">
      <c r="B55" s="79"/>
      <c r="C55" s="79"/>
      <c r="D55" s="79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25102</vt:lpstr>
      <vt:lpstr>25101</vt:lpstr>
      <vt:lpstr>compare to EA</vt:lpstr>
      <vt:lpstr>compare to 02-03</vt:lpstr>
      <vt:lpstr>work-study</vt:lpstr>
      <vt:lpstr>25101 to print</vt:lpstr>
      <vt:lpstr>25102 to print</vt:lpstr>
      <vt:lpstr>25102 revised</vt:lpstr>
      <vt:lpstr>25101 revised</vt:lpstr>
      <vt:lpstr>'25101 to print'!Print_Titles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cp:lastPrinted>2013-10-23T21:18:12Z</cp:lastPrinted>
  <dcterms:created xsi:type="dcterms:W3CDTF">2013-04-08T21:38:05Z</dcterms:created>
  <dcterms:modified xsi:type="dcterms:W3CDTF">2013-10-23T21:18:51Z</dcterms:modified>
</cp:coreProperties>
</file>