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10" yWindow="6375" windowWidth="21720" windowHeight="5940"/>
  </bookViews>
  <sheets>
    <sheet name="25101" sheetId="1" r:id="rId1"/>
    <sheet name="25102" sheetId="2" r:id="rId2"/>
  </sheets>
  <calcPr calcId="125725"/>
</workbook>
</file>

<file path=xl/calcChain.xml><?xml version="1.0" encoding="utf-8"?>
<calcChain xmlns="http://schemas.openxmlformats.org/spreadsheetml/2006/main">
  <c r="C21" i="1"/>
  <c r="N6"/>
  <c r="N4"/>
  <c r="N8"/>
  <c r="F4"/>
  <c r="F25"/>
  <c r="F26"/>
  <c r="C31"/>
  <c r="C22"/>
  <c r="E10"/>
  <c r="E8"/>
  <c r="D12"/>
  <c r="E12" s="1"/>
  <c r="D11"/>
  <c r="E11" s="1"/>
  <c r="D10"/>
  <c r="D9"/>
  <c r="E9" s="1"/>
  <c r="D8"/>
  <c r="F12"/>
  <c r="F33" s="1"/>
  <c r="N5"/>
  <c r="A2" i="2"/>
  <c r="B14" s="1"/>
  <c r="B14" i="1"/>
  <c r="C36"/>
  <c r="C38" s="1"/>
  <c r="C13"/>
  <c r="C35"/>
  <c r="C7"/>
  <c r="N11" s="1"/>
  <c r="C28"/>
  <c r="B12" i="2"/>
  <c r="N9" i="1"/>
  <c r="F35" l="1"/>
  <c r="E13"/>
  <c r="M27" s="1"/>
</calcChain>
</file>

<file path=xl/sharedStrings.xml><?xml version="1.0" encoding="utf-8"?>
<sst xmlns="http://schemas.openxmlformats.org/spreadsheetml/2006/main" count="90" uniqueCount="88">
  <si>
    <t>Account Title</t>
  </si>
  <si>
    <t>Adjusted Budget</t>
  </si>
  <si>
    <t>Year to Date</t>
  </si>
  <si>
    <t>Full-Time/Admin/Regular</t>
  </si>
  <si>
    <t>OASI</t>
  </si>
  <si>
    <t>TIAA/CREF</t>
  </si>
  <si>
    <t>PERS III</t>
  </si>
  <si>
    <t>Industrial Insurance</t>
  </si>
  <si>
    <t>Health  Life and Disability</t>
  </si>
  <si>
    <t>Goods and Services</t>
  </si>
  <si>
    <t>Office Supplies</t>
  </si>
  <si>
    <t>Photo and Reproduction Supplies</t>
  </si>
  <si>
    <t>Postage</t>
  </si>
  <si>
    <t>Telephone-SCAN</t>
  </si>
  <si>
    <t>Duplicating Copy Center</t>
  </si>
  <si>
    <t>Printing Off-Campus</t>
  </si>
  <si>
    <t>Conference Registration Fees</t>
  </si>
  <si>
    <t>Dues and Membership Fees</t>
  </si>
  <si>
    <t>Food and Drink Not For Resale</t>
  </si>
  <si>
    <t>Travel</t>
  </si>
  <si>
    <t>In-State Private Auto Mileage</t>
  </si>
  <si>
    <t>In-State Other</t>
  </si>
  <si>
    <t>Client Services</t>
  </si>
  <si>
    <t>TACOMA SUSTAINABILITY SUMMIT TRAVEL</t>
  </si>
  <si>
    <t>APP WAIVER FEE ($5 ea)</t>
  </si>
  <si>
    <t>PARKING</t>
  </si>
  <si>
    <t>TEDx</t>
  </si>
  <si>
    <t>s. s. sci symp - ambassadors + STAFF</t>
  </si>
  <si>
    <t>13-14 BROCHURES</t>
  </si>
  <si>
    <t>PEACECORPS - CAN'T AFFORD</t>
  </si>
  <si>
    <t>PHONE</t>
  </si>
  <si>
    <t>POSTAGE</t>
  </si>
  <si>
    <t>GRADUATION</t>
  </si>
  <si>
    <t>TOTAL</t>
  </si>
  <si>
    <t>STUDENT STAFF</t>
  </si>
  <si>
    <t>STAFF REMAINING</t>
  </si>
  <si>
    <t>UPCOMING</t>
  </si>
  <si>
    <t>RECRUIT ASST (5/6-6/30)</t>
  </si>
  <si>
    <t>NEWSLETTER (print 25 at 8 pages ea)</t>
  </si>
  <si>
    <t>ACTUAL AMOUNT</t>
  </si>
  <si>
    <t>already spent</t>
  </si>
  <si>
    <t>stats help, 120 hours/ $14/hour</t>
  </si>
  <si>
    <t>remainder</t>
  </si>
  <si>
    <t>confor (spent $400 in 2012)</t>
  </si>
  <si>
    <t>Student/On-Campus/FWSP</t>
  </si>
  <si>
    <t>Student/On-Campus/Institutional</t>
  </si>
  <si>
    <t>Temporary/Hourly</t>
  </si>
  <si>
    <t>Telephone-Cell Phone Usage</t>
  </si>
  <si>
    <t xml:space="preserve">Advertising </t>
  </si>
  <si>
    <t>Out-Of-State Air Transportation</t>
  </si>
  <si>
    <t>Out-Of-State Car Rental</t>
  </si>
  <si>
    <t>out of state per diem</t>
  </si>
  <si>
    <t>out of state other</t>
  </si>
  <si>
    <t>vans: $82 ea/day</t>
  </si>
  <si>
    <t>parking</t>
  </si>
  <si>
    <t>visitor food</t>
  </si>
  <si>
    <t>student remainder</t>
  </si>
  <si>
    <t>motor pool</t>
  </si>
  <si>
    <t>remaining</t>
  </si>
  <si>
    <t>thesis presentations</t>
  </si>
  <si>
    <t>119.28 subtracted was for idealist - todd will pay</t>
  </si>
  <si>
    <t>california</t>
  </si>
  <si>
    <t>wisconsin</t>
  </si>
  <si>
    <t>&lt;--includes 1510 carry forward</t>
  </si>
  <si>
    <t>POSTERS - MOVE TO FY14 ($250)</t>
  </si>
  <si>
    <t>SSEA presentation (use foundation)</t>
  </si>
  <si>
    <t>storming the sound</t>
  </si>
  <si>
    <t>books/office supplies/lab supplies</t>
  </si>
  <si>
    <t>13-14 vans, $82/day, .70/mi after 250 mi (for entire trip).  Might change to.40/mi</t>
  </si>
  <si>
    <t>we will know fees before May 1?</t>
  </si>
  <si>
    <t>1 day trips, MES pays; &gt;1 day student fee</t>
  </si>
  <si>
    <t>&gt;1 day, MES pays for faculty housing</t>
  </si>
  <si>
    <t>student fees have to posted 2 weeks before registration</t>
  </si>
  <si>
    <t>gail will enter the fees, tina checks for mistakes, David approves odd ones</t>
  </si>
  <si>
    <t>overestimate budget so that students get $$ back</t>
  </si>
  <si>
    <t>honoraria (ted's class: 400)</t>
  </si>
  <si>
    <t>Hamman winter trip</t>
  </si>
  <si>
    <t>FOOD FOR AMBASSADORS (100/QTR) - as of 9/26, ordered 16 @ 9.35, 6 @ 7.75, and 12 @ $14; 12/21 ordered 10 @ 9.35, 4 @7.75 and 12 @ $15, 3/25 ordered 6 @ 9.35 and 8 @ $15</t>
  </si>
  <si>
    <t>(for fall 2012 -used 8 dinner tix, 0 lunch tix, and 8 market tix, winter 13, used 0 lunch tix, 2 dinner tix, 5 market tix)</t>
  </si>
  <si>
    <t>est to spend</t>
  </si>
  <si>
    <t>SURVEYMONKEY - PUT ON 25102 for 13-14</t>
  </si>
  <si>
    <t>AMBASSADORS (4/1-6/15)</t>
  </si>
  <si>
    <t>COMMUNICATIONS ASST (3/16-6/15)</t>
  </si>
  <si>
    <t>OFFICE ASST (3/16-5/3)</t>
  </si>
  <si>
    <t>TOTAL REMAINDER</t>
  </si>
  <si>
    <t>ADMIT DAY (food and housing - $30/night, parking - $2/person) - assume 10 people need housing, 20 people need parking  - $340)</t>
  </si>
  <si>
    <t>spring field trips (calambokidis ~$164,</t>
  </si>
  <si>
    <t>OFFICE SUPPLIES ($50 coffee carafe)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</si>
</sst>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0" applyNumberFormat="0" applyBorder="0" applyAlignment="0" applyProtection="0"/>
    <xf numFmtId="0" fontId="6" fillId="28" borderId="2" applyNumberFormat="0" applyAlignment="0" applyProtection="0"/>
    <xf numFmtId="0" fontId="7" fillId="29" borderId="3" applyNumberFormat="0" applyAlignment="0" applyProtection="0"/>
    <xf numFmtId="0" fontId="8" fillId="0" borderId="0" applyNumberFormat="0" applyFill="0" applyBorder="0" applyAlignment="0" applyProtection="0"/>
    <xf numFmtId="0" fontId="9" fillId="30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31" borderId="2" applyNumberFormat="0" applyAlignment="0" applyProtection="0"/>
    <xf numFmtId="0" fontId="14" fillId="0" borderId="7" applyNumberFormat="0" applyFill="0" applyAlignment="0" applyProtection="0"/>
    <xf numFmtId="0" fontId="15" fillId="32" borderId="0" applyNumberFormat="0" applyBorder="0" applyAlignment="0" applyProtection="0"/>
    <xf numFmtId="0" fontId="1" fillId="33" borderId="8" applyNumberFormat="0" applyFont="0" applyAlignment="0" applyProtection="0"/>
    <xf numFmtId="0" fontId="16" fillId="28" borderId="9" applyNumberForma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0" borderId="0" applyNumberForma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0" fontId="0" fillId="0" borderId="0" xfId="0" applyFill="1" applyBorder="1"/>
    <xf numFmtId="0" fontId="0" fillId="2" borderId="0" xfId="0" applyFill="1"/>
    <xf numFmtId="0" fontId="0" fillId="0" borderId="0" xfId="0" applyFill="1"/>
    <xf numFmtId="0" fontId="0" fillId="34" borderId="0" xfId="0" applyFill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38"/>
  <sheetViews>
    <sheetView tabSelected="1" zoomScaleNormal="100" workbookViewId="0">
      <selection activeCell="G18" sqref="G18"/>
    </sheetView>
  </sheetViews>
  <sheetFormatPr defaultRowHeight="15"/>
  <cols>
    <col min="1" max="1" width="35.28515625" bestFit="1" customWidth="1"/>
    <col min="2" max="2" width="17.85546875" bestFit="1" customWidth="1"/>
    <col min="3" max="3" width="11.7109375" bestFit="1" customWidth="1"/>
  </cols>
  <sheetData>
    <row r="1" spans="1:15">
      <c r="F1" t="s">
        <v>36</v>
      </c>
    </row>
    <row r="2" spans="1:15">
      <c r="A2" t="s">
        <v>0</v>
      </c>
      <c r="B2" t="s">
        <v>1</v>
      </c>
      <c r="C2" t="s">
        <v>2</v>
      </c>
      <c r="F2" s="3" t="s">
        <v>39</v>
      </c>
      <c r="G2" s="3"/>
      <c r="N2" t="s">
        <v>34</v>
      </c>
    </row>
    <row r="3" spans="1:15">
      <c r="A3" t="s">
        <v>3</v>
      </c>
      <c r="B3">
        <v>49020</v>
      </c>
      <c r="C3">
        <v>34722.5</v>
      </c>
      <c r="F3" s="4"/>
    </row>
    <row r="4" spans="1:15">
      <c r="A4" t="s">
        <v>44</v>
      </c>
      <c r="B4">
        <v>0</v>
      </c>
      <c r="C4">
        <v>1487.84</v>
      </c>
      <c r="F4">
        <f>20.82</f>
        <v>20.82</v>
      </c>
      <c r="G4" t="s">
        <v>23</v>
      </c>
      <c r="N4">
        <f>(1.5*86*11)*0.25</f>
        <v>354.75</v>
      </c>
      <c r="O4" t="s">
        <v>83</v>
      </c>
    </row>
    <row r="5" spans="1:15">
      <c r="A5" t="s">
        <v>45</v>
      </c>
      <c r="B5">
        <v>9770</v>
      </c>
      <c r="C5">
        <v>5149.79</v>
      </c>
      <c r="N5">
        <f>86*2*13*0.25</f>
        <v>559</v>
      </c>
      <c r="O5" t="s">
        <v>37</v>
      </c>
    </row>
    <row r="6" spans="1:15">
      <c r="A6" t="s">
        <v>46</v>
      </c>
      <c r="B6" s="1">
        <v>0</v>
      </c>
      <c r="C6" s="1">
        <v>1462.5</v>
      </c>
      <c r="F6" s="4"/>
      <c r="G6" s="4"/>
      <c r="N6">
        <f>12*6*18</f>
        <v>1296</v>
      </c>
      <c r="O6" t="s">
        <v>82</v>
      </c>
    </row>
    <row r="7" spans="1:15">
      <c r="B7" t="s">
        <v>56</v>
      </c>
      <c r="C7">
        <f>B5-SUM(C4:C6)</f>
        <v>1669.87</v>
      </c>
      <c r="D7" t="s">
        <v>79</v>
      </c>
      <c r="E7" t="s">
        <v>42</v>
      </c>
      <c r="F7" s="4"/>
      <c r="G7" s="4"/>
    </row>
    <row r="8" spans="1:15">
      <c r="A8" t="s">
        <v>4</v>
      </c>
      <c r="B8">
        <v>3750.03</v>
      </c>
      <c r="C8">
        <v>2731.92</v>
      </c>
      <c r="D8">
        <f>156*7</f>
        <v>1092</v>
      </c>
      <c r="E8">
        <f>B8-(C8+D8)</f>
        <v>-73.889999999999873</v>
      </c>
      <c r="G8" t="s">
        <v>65</v>
      </c>
      <c r="N8" s="1">
        <f>(600*0.25)+300</f>
        <v>450</v>
      </c>
      <c r="O8" s="1" t="s">
        <v>81</v>
      </c>
    </row>
    <row r="9" spans="1:15">
      <c r="A9" t="s">
        <v>5</v>
      </c>
      <c r="B9">
        <v>4902</v>
      </c>
      <c r="C9">
        <v>1736.21</v>
      </c>
      <c r="D9">
        <f>102.13*7</f>
        <v>714.91</v>
      </c>
      <c r="E9">
        <f>B9-(C9+D9)</f>
        <v>2450.88</v>
      </c>
      <c r="F9">
        <v>50</v>
      </c>
      <c r="G9" t="s">
        <v>24</v>
      </c>
      <c r="N9">
        <f>SUM(N3:N8)</f>
        <v>2659.75</v>
      </c>
      <c r="O9" s="2" t="s">
        <v>33</v>
      </c>
    </row>
    <row r="10" spans="1:15">
      <c r="A10" t="s">
        <v>6</v>
      </c>
      <c r="B10">
        <v>0</v>
      </c>
      <c r="C10">
        <v>43.29</v>
      </c>
      <c r="D10">
        <f>4*7</f>
        <v>28</v>
      </c>
      <c r="E10">
        <f>B10-(C10+D10)</f>
        <v>-71.289999999999992</v>
      </c>
      <c r="F10">
        <v>20</v>
      </c>
      <c r="G10" t="s">
        <v>25</v>
      </c>
    </row>
    <row r="11" spans="1:15">
      <c r="A11" t="s">
        <v>7</v>
      </c>
      <c r="B11">
        <v>648.52</v>
      </c>
      <c r="C11">
        <v>520.63</v>
      </c>
      <c r="D11">
        <f>22*7</f>
        <v>154</v>
      </c>
      <c r="E11">
        <f>B11-(C11+D11)</f>
        <v>-26.110000000000014</v>
      </c>
      <c r="N11">
        <f>C7-N9</f>
        <v>-989.88000000000011</v>
      </c>
      <c r="O11" t="s">
        <v>35</v>
      </c>
    </row>
    <row r="12" spans="1:15">
      <c r="A12" t="s">
        <v>8</v>
      </c>
      <c r="B12" s="1">
        <v>9600</v>
      </c>
      <c r="C12" s="1">
        <v>7555.06</v>
      </c>
      <c r="D12">
        <f>430*7</f>
        <v>3010</v>
      </c>
      <c r="E12">
        <f>B12-(C12+D12)</f>
        <v>-965.06000000000131</v>
      </c>
      <c r="F12" s="4">
        <f>322/2</f>
        <v>161</v>
      </c>
      <c r="G12" s="3" t="s">
        <v>26</v>
      </c>
    </row>
    <row r="13" spans="1:15">
      <c r="C13">
        <f>SUM(B8:B12)-SUM(C8:C12)</f>
        <v>6313.4400000000023</v>
      </c>
      <c r="E13">
        <f>SUM(E8:E12)</f>
        <v>1314.5299999999988</v>
      </c>
      <c r="F13">
        <v>70</v>
      </c>
      <c r="G13" t="s">
        <v>66</v>
      </c>
    </row>
    <row r="14" spans="1:15">
      <c r="A14" t="s">
        <v>9</v>
      </c>
      <c r="B14">
        <f>7960+3000+1800</f>
        <v>12760</v>
      </c>
      <c r="C14">
        <v>0</v>
      </c>
      <c r="F14">
        <v>100</v>
      </c>
      <c r="G14" t="s">
        <v>77</v>
      </c>
    </row>
    <row r="15" spans="1:15">
      <c r="A15" t="s">
        <v>10</v>
      </c>
      <c r="B15">
        <v>0</v>
      </c>
      <c r="C15">
        <v>101.46</v>
      </c>
      <c r="G15" t="s">
        <v>78</v>
      </c>
    </row>
    <row r="16" spans="1:15">
      <c r="A16" t="s">
        <v>11</v>
      </c>
      <c r="B16">
        <v>0</v>
      </c>
      <c r="C16">
        <v>66.5</v>
      </c>
      <c r="F16" s="3">
        <v>40</v>
      </c>
      <c r="G16" s="3" t="s">
        <v>27</v>
      </c>
    </row>
    <row r="17" spans="1:14">
      <c r="A17" t="s">
        <v>12</v>
      </c>
      <c r="B17">
        <v>0</v>
      </c>
      <c r="C17">
        <v>546.61</v>
      </c>
      <c r="F17">
        <v>100</v>
      </c>
      <c r="G17" t="s">
        <v>87</v>
      </c>
    </row>
    <row r="18" spans="1:14">
      <c r="A18" t="s">
        <v>13</v>
      </c>
      <c r="B18">
        <v>0</v>
      </c>
      <c r="C18">
        <v>287.58</v>
      </c>
      <c r="F18">
        <v>1500</v>
      </c>
      <c r="G18" t="s">
        <v>28</v>
      </c>
    </row>
    <row r="19" spans="1:14">
      <c r="A19" t="s">
        <v>47</v>
      </c>
      <c r="B19">
        <v>0</v>
      </c>
      <c r="C19">
        <v>23.03</v>
      </c>
      <c r="F19">
        <v>0</v>
      </c>
      <c r="G19" t="s">
        <v>29</v>
      </c>
    </row>
    <row r="20" spans="1:14">
      <c r="A20" t="s">
        <v>48</v>
      </c>
      <c r="B20">
        <v>0</v>
      </c>
      <c r="C20">
        <v>1260</v>
      </c>
      <c r="F20">
        <v>1200</v>
      </c>
      <c r="G20" t="s">
        <v>85</v>
      </c>
    </row>
    <row r="21" spans="1:14">
      <c r="A21" t="s">
        <v>14</v>
      </c>
      <c r="B21">
        <v>0</v>
      </c>
      <c r="C21">
        <f>111.15+98</f>
        <v>209.15</v>
      </c>
      <c r="G21" t="s">
        <v>80</v>
      </c>
    </row>
    <row r="22" spans="1:14">
      <c r="A22" t="s">
        <v>15</v>
      </c>
      <c r="B22">
        <v>0</v>
      </c>
      <c r="C22">
        <f>426.22+5.96</f>
        <v>432.18</v>
      </c>
      <c r="F22">
        <v>160</v>
      </c>
      <c r="G22" t="s">
        <v>30</v>
      </c>
    </row>
    <row r="23" spans="1:14">
      <c r="A23" t="s">
        <v>16</v>
      </c>
      <c r="B23">
        <v>0</v>
      </c>
      <c r="C23">
        <v>1180</v>
      </c>
      <c r="F23">
        <v>150</v>
      </c>
      <c r="G23" t="s">
        <v>31</v>
      </c>
    </row>
    <row r="24" spans="1:14">
      <c r="A24" t="s">
        <v>17</v>
      </c>
      <c r="B24">
        <v>0</v>
      </c>
      <c r="C24">
        <v>3225</v>
      </c>
      <c r="G24" t="s">
        <v>64</v>
      </c>
    </row>
    <row r="25" spans="1:14">
      <c r="A25" t="s">
        <v>18</v>
      </c>
      <c r="B25">
        <v>0</v>
      </c>
      <c r="C25">
        <v>768.49</v>
      </c>
      <c r="F25" s="4">
        <f>100+100+70</f>
        <v>270</v>
      </c>
      <c r="G25" s="4" t="s">
        <v>61</v>
      </c>
    </row>
    <row r="26" spans="1:14">
      <c r="A26" t="s">
        <v>55</v>
      </c>
      <c r="C26">
        <v>172.85</v>
      </c>
      <c r="F26" s="4">
        <f>112+112+195+200+100+70+45</f>
        <v>834</v>
      </c>
      <c r="G26" s="4" t="s">
        <v>62</v>
      </c>
      <c r="M26" s="5" t="s">
        <v>84</v>
      </c>
      <c r="N26" s="5"/>
    </row>
    <row r="27" spans="1:14">
      <c r="A27" t="s">
        <v>54</v>
      </c>
      <c r="B27" s="1">
        <v>0</v>
      </c>
      <c r="C27" s="1">
        <v>34</v>
      </c>
      <c r="M27" s="5">
        <f>F35+E13+N11</f>
        <v>78.169999999998254</v>
      </c>
      <c r="N27" s="5"/>
    </row>
    <row r="28" spans="1:14">
      <c r="C28">
        <f>B14-SUM(C15:C27)</f>
        <v>4453.1499999999996</v>
      </c>
    </row>
    <row r="29" spans="1:14">
      <c r="A29" t="s">
        <v>19</v>
      </c>
      <c r="B29">
        <v>4800</v>
      </c>
      <c r="C29">
        <v>0</v>
      </c>
      <c r="F29" s="4"/>
      <c r="G29" s="4"/>
    </row>
    <row r="30" spans="1:14">
      <c r="A30" t="s">
        <v>20</v>
      </c>
      <c r="B30">
        <v>0</v>
      </c>
      <c r="C30">
        <v>294.44</v>
      </c>
      <c r="F30">
        <v>1400</v>
      </c>
      <c r="G30" t="s">
        <v>32</v>
      </c>
    </row>
    <row r="31" spans="1:14">
      <c r="A31" t="s">
        <v>21</v>
      </c>
      <c r="B31">
        <v>0</v>
      </c>
      <c r="C31">
        <f>74.5+77.7</f>
        <v>152.19999999999999</v>
      </c>
      <c r="F31" s="4"/>
      <c r="G31" s="4"/>
    </row>
    <row r="32" spans="1:14">
      <c r="A32" t="s">
        <v>51</v>
      </c>
      <c r="C32">
        <v>578.20000000000005</v>
      </c>
      <c r="F32" s="1">
        <v>98</v>
      </c>
      <c r="G32" s="1" t="s">
        <v>38</v>
      </c>
    </row>
    <row r="33" spans="1:7">
      <c r="A33" t="s">
        <v>49</v>
      </c>
      <c r="B33">
        <v>0</v>
      </c>
      <c r="C33">
        <v>1968.3</v>
      </c>
      <c r="F33">
        <f>SUM(F2:F32)</f>
        <v>6173.82</v>
      </c>
      <c r="G33" t="s">
        <v>33</v>
      </c>
    </row>
    <row r="34" spans="1:7">
      <c r="A34" t="s">
        <v>50</v>
      </c>
      <c r="B34">
        <v>0</v>
      </c>
      <c r="C34">
        <v>312.08999999999997</v>
      </c>
    </row>
    <row r="35" spans="1:7">
      <c r="A35" t="s">
        <v>52</v>
      </c>
      <c r="B35">
        <v>0</v>
      </c>
      <c r="C35">
        <f>23.4+54.5</f>
        <v>77.900000000000006</v>
      </c>
      <c r="F35">
        <f>(C28+C38)-F33</f>
        <v>-246.48000000000047</v>
      </c>
      <c r="G35" t="s">
        <v>58</v>
      </c>
    </row>
    <row r="36" spans="1:7">
      <c r="A36" t="s">
        <v>57</v>
      </c>
      <c r="B36">
        <v>0</v>
      </c>
      <c r="C36">
        <f>161.96-119.28</f>
        <v>42.680000000000007</v>
      </c>
      <c r="D36" t="s">
        <v>60</v>
      </c>
    </row>
    <row r="37" spans="1:7">
      <c r="A37" t="s">
        <v>22</v>
      </c>
      <c r="B37" s="1">
        <v>0</v>
      </c>
      <c r="C37" s="1">
        <v>-100</v>
      </c>
    </row>
    <row r="38" spans="1:7">
      <c r="C38">
        <f>B29-SUM(C30:C37)</f>
        <v>1474.1899999999996</v>
      </c>
    </row>
  </sheetData>
  <phoneticPr fontId="2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2:G21"/>
  <sheetViews>
    <sheetView zoomScaleNormal="175" workbookViewId="0">
      <selection activeCell="B11" sqref="B11"/>
    </sheetView>
  </sheetViews>
  <sheetFormatPr defaultRowHeight="15"/>
  <cols>
    <col min="1" max="1" width="10.28515625" bestFit="1" customWidth="1"/>
    <col min="2" max="2" width="17.140625" customWidth="1"/>
  </cols>
  <sheetData>
    <row r="2" spans="1:7">
      <c r="A2">
        <f>7400+1510</f>
        <v>8910</v>
      </c>
      <c r="B2" t="s">
        <v>63</v>
      </c>
    </row>
    <row r="3" spans="1:7">
      <c r="B3">
        <v>5375.01</v>
      </c>
      <c r="C3" t="s">
        <v>40</v>
      </c>
    </row>
    <row r="4" spans="1:7">
      <c r="B4">
        <v>160</v>
      </c>
      <c r="C4" t="s">
        <v>67</v>
      </c>
    </row>
    <row r="5" spans="1:7">
      <c r="B5">
        <v>150</v>
      </c>
      <c r="C5" t="s">
        <v>59</v>
      </c>
    </row>
    <row r="9" spans="1:7">
      <c r="B9">
        <v>164</v>
      </c>
      <c r="C9" t="s">
        <v>76</v>
      </c>
      <c r="G9" t="s">
        <v>53</v>
      </c>
    </row>
    <row r="10" spans="1:7">
      <c r="B10">
        <v>164</v>
      </c>
      <c r="C10" t="s">
        <v>86</v>
      </c>
    </row>
    <row r="11" spans="1:7">
      <c r="B11">
        <v>650</v>
      </c>
      <c r="C11" t="s">
        <v>75</v>
      </c>
    </row>
    <row r="12" spans="1:7">
      <c r="B12">
        <f>120*14</f>
        <v>1680</v>
      </c>
      <c r="C12" t="s">
        <v>41</v>
      </c>
    </row>
    <row r="13" spans="1:7">
      <c r="B13" s="1">
        <v>400</v>
      </c>
      <c r="C13" t="s">
        <v>43</v>
      </c>
    </row>
    <row r="14" spans="1:7">
      <c r="A14" t="s">
        <v>42</v>
      </c>
      <c r="B14">
        <f>A2-SUM(B3:B13)</f>
        <v>166.98999999999978</v>
      </c>
    </row>
    <row r="15" spans="1:7">
      <c r="E15" t="s">
        <v>68</v>
      </c>
    </row>
    <row r="16" spans="1:7">
      <c r="E16" t="s">
        <v>69</v>
      </c>
    </row>
    <row r="17" spans="5:5">
      <c r="E17" t="s">
        <v>70</v>
      </c>
    </row>
    <row r="18" spans="5:5">
      <c r="E18" t="s">
        <v>71</v>
      </c>
    </row>
    <row r="19" spans="5:5">
      <c r="E19" t="s">
        <v>72</v>
      </c>
    </row>
    <row r="20" spans="5:5">
      <c r="E20" t="s">
        <v>73</v>
      </c>
    </row>
    <row r="21" spans="5:5">
      <c r="E21" t="s">
        <v>74</v>
      </c>
    </row>
  </sheetData>
  <phoneticPr fontId="2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25101</vt:lpstr>
      <vt:lpstr>25102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wootang</cp:lastModifiedBy>
  <dcterms:created xsi:type="dcterms:W3CDTF">2012-10-11T22:42:48Z</dcterms:created>
  <dcterms:modified xsi:type="dcterms:W3CDTF">2013-04-05T19:08:26Z</dcterms:modified>
</cp:coreProperties>
</file>