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1720" windowHeight="12270" tabRatio="802"/>
  </bookViews>
  <sheets>
    <sheet name="Summary" sheetId="1" r:id="rId1"/>
    <sheet name="FY 11 costs" sheetId="10" r:id="rId2"/>
    <sheet name="FY12 credits" sheetId="2" r:id="rId3"/>
    <sheet name="FY12 waivers" sheetId="3" r:id="rId4"/>
    <sheet name="FY12 costs" sheetId="4" r:id="rId5"/>
    <sheet name="FTE" sheetId="5" r:id="rId6"/>
    <sheet name="FY13 credits" sheetId="9" r:id="rId7"/>
    <sheet name="FY13 waivers" sheetId="8" r:id="rId8"/>
    <sheet name="FY13 costs" sheetId="7" r:id="rId9"/>
    <sheet name="FY14 waivers" sheetId="6" r:id="rId10"/>
    <sheet name="FY14 costs" sheetId="11" r:id="rId11"/>
    <sheet name="FY14 credits" sheetId="12" r:id="rId12"/>
    <sheet name="to print" sheetId="13" r:id="rId13"/>
  </sheets>
  <definedNames>
    <definedName name="_xlnm._FilterDatabase" localSheetId="2" hidden="1">'FY12 credits'!$M$1:$N$101</definedName>
    <definedName name="_xlnm.Print_Area" localSheetId="0">Summary!$A$1:$I$21</definedName>
  </definedNames>
  <calcPr calcId="125725"/>
</workbook>
</file>

<file path=xl/calcChain.xml><?xml version="1.0" encoding="utf-8"?>
<calcChain xmlns="http://schemas.openxmlformats.org/spreadsheetml/2006/main">
  <c r="F21" i="1"/>
  <c r="F20"/>
  <c r="B15" i="13"/>
  <c r="B16" s="1"/>
  <c r="F14"/>
  <c r="E14"/>
  <c r="D14"/>
  <c r="C14"/>
  <c r="B14"/>
  <c r="B7"/>
  <c r="E6"/>
  <c r="E7" s="1"/>
  <c r="D6"/>
  <c r="C6"/>
  <c r="E5"/>
  <c r="D5"/>
  <c r="D7" s="1"/>
  <c r="C5"/>
  <c r="C7" s="1"/>
  <c r="E5" i="1"/>
  <c r="E7" s="1"/>
  <c r="R24" i="12"/>
  <c r="G50"/>
  <c r="M28"/>
  <c r="H29"/>
  <c r="F50"/>
  <c r="E50"/>
  <c r="D50"/>
  <c r="D20" i="1"/>
  <c r="D21"/>
  <c r="C21"/>
  <c r="C20"/>
  <c r="B6" i="12"/>
  <c r="B5"/>
  <c r="B4"/>
  <c r="B3"/>
  <c r="B2"/>
  <c r="C5"/>
  <c r="C4"/>
  <c r="C3"/>
  <c r="C2"/>
  <c r="F14" i="1"/>
  <c r="E14"/>
  <c r="B4" i="11"/>
  <c r="M10"/>
  <c r="M9"/>
  <c r="B15"/>
  <c r="B13"/>
  <c r="B19" s="1"/>
  <c r="B12"/>
  <c r="B5"/>
  <c r="B3"/>
  <c r="B9" s="1"/>
  <c r="B2"/>
  <c r="E6" i="1"/>
  <c r="B9" i="6"/>
  <c r="D5" i="1"/>
  <c r="I99" i="9"/>
  <c r="I101" s="1"/>
  <c r="F104"/>
  <c r="C108"/>
  <c r="D6" i="1"/>
  <c r="B7" i="8"/>
  <c r="B3"/>
  <c r="B6" i="10"/>
  <c r="B9" s="1"/>
  <c r="B14" i="1" s="1"/>
  <c r="D14"/>
  <c r="B5" i="4"/>
  <c r="B1"/>
  <c r="B5" i="7"/>
  <c r="B4"/>
  <c r="B3"/>
  <c r="B2"/>
  <c r="B1"/>
  <c r="D11" i="13" l="1"/>
  <c r="D15"/>
  <c r="D10"/>
  <c r="E11"/>
  <c r="E15"/>
  <c r="E10"/>
  <c r="F15"/>
  <c r="C15"/>
  <c r="C10"/>
  <c r="C11"/>
  <c r="B17"/>
  <c r="E10" i="1"/>
  <c r="E15"/>
  <c r="E11"/>
  <c r="F15"/>
  <c r="D21" i="13" l="1"/>
  <c r="D16"/>
  <c r="D20"/>
  <c r="D17"/>
  <c r="F16"/>
  <c r="F17"/>
  <c r="C21"/>
  <c r="C16"/>
  <c r="C20"/>
  <c r="C17"/>
  <c r="E20"/>
  <c r="E17"/>
  <c r="E16"/>
  <c r="E21"/>
  <c r="E16" i="1"/>
  <c r="E21"/>
  <c r="E20"/>
  <c r="F17"/>
  <c r="F16"/>
  <c r="E17"/>
  <c r="C2" i="9" l="1"/>
  <c r="C5"/>
  <c r="C4"/>
  <c r="C3"/>
  <c r="B4"/>
  <c r="B3"/>
  <c r="B2"/>
  <c r="B9" i="8"/>
  <c r="B8" i="7"/>
  <c r="C17" i="5"/>
  <c r="C6"/>
  <c r="C12"/>
  <c r="B12"/>
  <c r="C5"/>
  <c r="C11"/>
  <c r="B11"/>
  <c r="L12"/>
  <c r="M10"/>
  <c r="A106" i="2"/>
  <c r="A101"/>
  <c r="C9" i="5"/>
  <c r="C8"/>
  <c r="M3"/>
  <c r="P6"/>
  <c r="K4"/>
  <c r="C3"/>
  <c r="C2"/>
  <c r="D16" i="4"/>
  <c r="D15"/>
  <c r="D17" s="1"/>
  <c r="D23" s="1"/>
  <c r="D25" s="1"/>
  <c r="B16"/>
  <c r="B15"/>
  <c r="G103" i="2"/>
  <c r="G104"/>
  <c r="G106" s="1"/>
  <c r="N93"/>
  <c r="G102"/>
  <c r="G100"/>
  <c r="M85"/>
  <c r="G89"/>
  <c r="A104"/>
  <c r="G97"/>
  <c r="D24" i="4"/>
  <c r="B8"/>
  <c r="C14" i="1" s="1"/>
  <c r="B7"/>
  <c r="B15"/>
  <c r="B16" s="1"/>
  <c r="C6"/>
  <c r="B10" i="3"/>
  <c r="B4"/>
  <c r="E9" i="2"/>
  <c r="E100"/>
  <c r="E6"/>
  <c r="E12" s="1"/>
  <c r="Q14"/>
  <c r="Q79"/>
  <c r="O82"/>
  <c r="I87"/>
  <c r="K83"/>
  <c r="K18"/>
  <c r="E17"/>
  <c r="C101"/>
  <c r="B17" i="1" l="1"/>
  <c r="J97" i="2"/>
  <c r="H107" s="1"/>
  <c r="H109" s="1"/>
  <c r="D7" i="1" s="1"/>
  <c r="C5"/>
  <c r="C7" s="1"/>
  <c r="D11" l="1"/>
  <c r="D15"/>
  <c r="D10"/>
  <c r="C15"/>
  <c r="C10"/>
  <c r="C11"/>
  <c r="D16" l="1"/>
  <c r="D17"/>
  <c r="C17"/>
  <c r="C16"/>
</calcChain>
</file>

<file path=xl/sharedStrings.xml><?xml version="1.0" encoding="utf-8"?>
<sst xmlns="http://schemas.openxmlformats.org/spreadsheetml/2006/main" count="909" uniqueCount="129">
  <si>
    <t>Revenue</t>
  </si>
  <si>
    <t>Total Operating Fee Revenue</t>
  </si>
  <si>
    <t>TOTAL_CREDIT_HOURS</t>
  </si>
  <si>
    <t>RESD_CODE</t>
  </si>
  <si>
    <t>R</t>
  </si>
  <si>
    <t>N</t>
  </si>
  <si>
    <t>Fall nonres</t>
  </si>
  <si>
    <t>fall res</t>
  </si>
  <si>
    <t>winter nonres</t>
  </si>
  <si>
    <t>winter res</t>
  </si>
  <si>
    <t>res spring</t>
  </si>
  <si>
    <t>nonres spring</t>
  </si>
  <si>
    <t>total nonres</t>
  </si>
  <si>
    <t>total res</t>
  </si>
  <si>
    <t>total</t>
  </si>
  <si>
    <t>MES Waivers</t>
  </si>
  <si>
    <t>VET waivers</t>
  </si>
  <si>
    <t>VET dependent waivers</t>
  </si>
  <si>
    <t>Staff waivers</t>
  </si>
  <si>
    <t>TOTAL WAIVERS</t>
  </si>
  <si>
    <t>2011-12</t>
  </si>
  <si>
    <t>2010-11</t>
  </si>
  <si>
    <t>FY12 vs FY 11</t>
  </si>
  <si>
    <t>Percentage increase/(decrease)</t>
  </si>
  <si>
    <t>Total increase/(decrease)</t>
  </si>
  <si>
    <t>Cost-Profit</t>
  </si>
  <si>
    <t>Total Direct Cost</t>
  </si>
  <si>
    <t>Net Revenue</t>
  </si>
  <si>
    <t>Profit/(Loss) - cost/net revenue</t>
  </si>
  <si>
    <t>Regular Faculty</t>
  </si>
  <si>
    <t>Henderson, Chin Leo, Cushing, Murphy</t>
  </si>
  <si>
    <t>TOTAL</t>
  </si>
  <si>
    <t>readers</t>
  </si>
  <si>
    <t>adjunct</t>
  </si>
  <si>
    <t>12-13 costs</t>
  </si>
  <si>
    <t>total enrolled over 3 qtrs</t>
  </si>
  <si>
    <t>estimate for 13-14</t>
  </si>
  <si>
    <t>1213 estimate</t>
  </si>
  <si>
    <t>avg/person</t>
  </si>
  <si>
    <t>% nonres</t>
  </si>
  <si>
    <t>tuition went up 5% for residents</t>
  </si>
  <si>
    <t># of nonres for 11-12</t>
  </si>
  <si>
    <t># of nonres 12-13</t>
  </si>
  <si>
    <t>tuition went up 5%</t>
  </si>
  <si>
    <t>estimate for 12-13</t>
  </si>
  <si>
    <t>Henderson, Whitesell (2 years), Francis (2 years)</t>
  </si>
  <si>
    <t>should have 3 full time faculty, 1 rotating faculty, 1 temporary faculty</t>
  </si>
  <si>
    <t>Saul (estimate)</t>
  </si>
  <si>
    <t>Carri</t>
  </si>
  <si>
    <t>Erin</t>
  </si>
  <si>
    <t>ben</t>
  </si>
  <si>
    <t>LeRoy, Ellis, bigley, hardcastle, partridge, quinn, stewart, pickett, stats person</t>
  </si>
  <si>
    <t>*the temp faculty (not including ellis and leroy) were supposed to equal1.5 faculty</t>
  </si>
  <si>
    <t>actual</t>
  </si>
  <si>
    <t>201213 budgeted target</t>
  </si>
  <si>
    <t>cost per student</t>
  </si>
  <si>
    <t>201011 budgeted target</t>
  </si>
  <si>
    <t>2011112 budgeted target</t>
  </si>
  <si>
    <t>&lt;--cost per student was 2600 less than expected - saved 2600*83.6 = 217360</t>
  </si>
  <si>
    <t>cost was also 1700 less than last year - saved 1700*83.6=142120</t>
  </si>
  <si>
    <t>&lt; --cost per student was 600 less than expected - saved 64.4*600 = 38,640</t>
  </si>
  <si>
    <t>estimated</t>
  </si>
  <si>
    <t>&lt;--cost per student was 3200 less than expected, saved 3200*91.6=293120</t>
  </si>
  <si>
    <t>cost was also 500 less than last year, saved 500*91.6=45,800</t>
  </si>
  <si>
    <t>avg target</t>
  </si>
  <si>
    <t xml:space="preserve">So, how much should each student cost us?  $7000 per student? With an FTE target of 80?  </t>
  </si>
  <si>
    <t>&lt;--cost of program 80 FTE at $7000 each</t>
  </si>
  <si>
    <t>avg actual</t>
  </si>
  <si>
    <t>Profit/(Loss) as % of Operating Revenue</t>
  </si>
  <si>
    <t>Profit/(Loss) as a % of Net Revenue</t>
  </si>
  <si>
    <t>MES 12-13 Revenue Cost Analysis Summary</t>
  </si>
  <si>
    <t>2013-14 (ESTIMATE)</t>
  </si>
  <si>
    <t>FY 14 v. FY 13 (est.)</t>
  </si>
  <si>
    <t>Resident</t>
  </si>
  <si>
    <t>Nonresident</t>
  </si>
  <si>
    <t>Fall - Spring</t>
  </si>
  <si>
    <t>Summer</t>
  </si>
  <si>
    <t>FY 13 v. FY 12</t>
  </si>
  <si>
    <t>not incl 3000 ncse</t>
  </si>
  <si>
    <t>Director</t>
  </si>
  <si>
    <t>Henderson (.5), Francis (1.0), Whitesell (1.0)</t>
  </si>
  <si>
    <t>not incl July 1 - August 30</t>
  </si>
  <si>
    <t>not incl July 1 - Aug 30</t>
  </si>
  <si>
    <t>full time temp fac</t>
  </si>
  <si>
    <t>part time temp fac</t>
  </si>
  <si>
    <t>LeRoy, Ellis, Roberts</t>
  </si>
  <si>
    <t>Bigley, Hardcastle/Usibelli, Partridge, Quinn, Stewart, Pickett,  Hamman, Calambokidis</t>
  </si>
  <si>
    <t>benefits (incl summer - too hard to take out)</t>
  </si>
  <si>
    <t>fac benefits</t>
  </si>
  <si>
    <t>LeRoy</t>
  </si>
  <si>
    <t>Bigley, Hardcastle, Partridge, Quinn, Stewart, Unger, Hamman, MacGregor, Calambokidis +  Readers (MacGregor, Bigley, Quinnx2…not sure how to calculate ones from before)</t>
  </si>
  <si>
    <t>2012-13</t>
  </si>
  <si>
    <t>FY11 costs</t>
  </si>
  <si>
    <t>Saul</t>
  </si>
  <si>
    <t>Fall 12</t>
  </si>
  <si>
    <t>Winter 13</t>
  </si>
  <si>
    <t>spring 13</t>
  </si>
  <si>
    <t>grand total</t>
  </si>
  <si>
    <t>includes special students</t>
  </si>
  <si>
    <t>Revenue Increase (over previous year)</t>
  </si>
  <si>
    <t>2013-14 (w/proposed budget)</t>
  </si>
  <si>
    <t>LeRoy, Ellis (estimate)</t>
  </si>
  <si>
    <t>proposed</t>
  </si>
  <si>
    <t>base</t>
  </si>
  <si>
    <t>benefits (incl summer - too hard to take out) - major estimate w/out dina</t>
  </si>
  <si>
    <t>benefits (incl summer - too hard to take out) - estimate w/out dina</t>
  </si>
  <si>
    <t>Profit Increase (over previous year)</t>
  </si>
  <si>
    <t>spring 2013 first year enrollment</t>
  </si>
  <si>
    <t>TERM_CODE_ADMIT</t>
  </si>
  <si>
    <t>201310</t>
  </si>
  <si>
    <t>fall 2012 3rd year enrollment</t>
  </si>
  <si>
    <t>200910</t>
  </si>
  <si>
    <t>201010</t>
  </si>
  <si>
    <t>201110</t>
  </si>
  <si>
    <t>w2013 3rd yr enrollment</t>
  </si>
  <si>
    <t>199210</t>
  </si>
  <si>
    <t>199230</t>
  </si>
  <si>
    <t>200410</t>
  </si>
  <si>
    <t>sp2013 3rd yr enrollment</t>
  </si>
  <si>
    <t>&lt;--grand total</t>
  </si>
  <si>
    <t>fall 2013</t>
  </si>
  <si>
    <t>3 qtrs</t>
  </si>
  <si>
    <t>plus stragglers</t>
  </si>
  <si>
    <t>Gail Wootan - May 2013</t>
  </si>
  <si>
    <t>Total Waivers</t>
  </si>
  <si>
    <t>FY 14 v. FY 13 (w/proposed budget)</t>
  </si>
  <si>
    <t>Profit/(Loss) - net revenue minus cost</t>
  </si>
  <si>
    <t xml:space="preserve">Gail Wootan - May 2013 </t>
  </si>
  <si>
    <t>MES 12-13 Revenue Cost Analysis Estimate Summary - DRAFT - DRAFT - DRAFT - DRAFT - DRAFT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</si>
</sst>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41">
    <xf numFmtId="0" fontId="0" fillId="0" borderId="0" xfId="0"/>
    <xf numFmtId="0" fontId="2" fillId="2" borderId="2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2" fillId="2" borderId="2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4" fillId="0" borderId="0" xfId="0" applyFont="1"/>
    <xf numFmtId="0" fontId="0" fillId="0" borderId="3" xfId="0" applyBorder="1"/>
    <xf numFmtId="9" fontId="0" fillId="0" borderId="0" xfId="4" applyFont="1"/>
    <xf numFmtId="10" fontId="0" fillId="0" borderId="0" xfId="4" applyNumberFormat="1" applyFont="1"/>
    <xf numFmtId="0" fontId="2" fillId="0" borderId="0" xfId="3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0" fontId="0" fillId="0" borderId="0" xfId="4" applyNumberFormat="1" applyFont="1"/>
    <xf numFmtId="0" fontId="5" fillId="0" borderId="0" xfId="4" applyNumberFormat="1" applyFont="1"/>
    <xf numFmtId="2" fontId="0" fillId="0" borderId="0" xfId="0" applyNumberFormat="1"/>
    <xf numFmtId="1" fontId="0" fillId="0" borderId="0" xfId="0" applyNumberFormat="1"/>
    <xf numFmtId="16" fontId="0" fillId="0" borderId="0" xfId="0" applyNumberFormat="1"/>
    <xf numFmtId="44" fontId="0" fillId="0" borderId="0" xfId="1" applyFont="1"/>
    <xf numFmtId="44" fontId="0" fillId="0" borderId="3" xfId="1" applyFont="1" applyBorder="1"/>
    <xf numFmtId="44" fontId="5" fillId="0" borderId="0" xfId="1" applyFont="1"/>
    <xf numFmtId="0" fontId="5" fillId="0" borderId="0" xfId="0" applyFont="1"/>
    <xf numFmtId="0" fontId="0" fillId="0" borderId="3" xfId="0" applyBorder="1"/>
    <xf numFmtId="0" fontId="1" fillId="2" borderId="2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0" fontId="1" fillId="0" borderId="1" xfId="5" applyFont="1" applyFill="1" applyBorder="1" applyAlignment="1">
      <alignment wrapText="1"/>
    </xf>
    <xf numFmtId="0" fontId="1" fillId="0" borderId="4" xfId="5" applyFont="1" applyFill="1" applyBorder="1" applyAlignment="1">
      <alignment wrapText="1"/>
    </xf>
    <xf numFmtId="0" fontId="1" fillId="0" borderId="4" xfId="5" applyFont="1" applyFill="1" applyBorder="1" applyAlignment="1">
      <alignment horizontal="right" wrapText="1"/>
    </xf>
    <xf numFmtId="0" fontId="7" fillId="0" borderId="0" xfId="0" applyFont="1"/>
    <xf numFmtId="44" fontId="7" fillId="0" borderId="0" xfId="1" applyFont="1"/>
    <xf numFmtId="0" fontId="1" fillId="2" borderId="2" xfId="6" applyFont="1" applyFill="1" applyBorder="1" applyAlignment="1">
      <alignment horizontal="center"/>
    </xf>
    <xf numFmtId="0" fontId="1" fillId="0" borderId="1" xfId="6" applyFont="1" applyFill="1" applyBorder="1" applyAlignment="1">
      <alignment wrapText="1"/>
    </xf>
    <xf numFmtId="0" fontId="1" fillId="0" borderId="1" xfId="6" applyFont="1" applyFill="1" applyBorder="1" applyAlignment="1">
      <alignment horizontal="right" wrapText="1"/>
    </xf>
    <xf numFmtId="0" fontId="1" fillId="0" borderId="4" xfId="6" applyFont="1" applyFill="1" applyBorder="1" applyAlignment="1">
      <alignment horizontal="right" wrapText="1"/>
    </xf>
    <xf numFmtId="44" fontId="0" fillId="0" borderId="0" xfId="0" applyNumberFormat="1"/>
    <xf numFmtId="0" fontId="0" fillId="0" borderId="0" xfId="0" applyBorder="1"/>
    <xf numFmtId="44" fontId="0" fillId="0" borderId="0" xfId="1" applyFont="1" applyBorder="1"/>
    <xf numFmtId="0" fontId="7" fillId="0" borderId="5" xfId="0" applyFont="1" applyBorder="1"/>
    <xf numFmtId="44" fontId="7" fillId="0" borderId="6" xfId="1" applyFont="1" applyBorder="1"/>
    <xf numFmtId="44" fontId="7" fillId="0" borderId="7" xfId="1" applyFont="1" applyBorder="1"/>
  </cellXfs>
  <cellStyles count="7">
    <cellStyle name="Currency" xfId="1" builtinId="4"/>
    <cellStyle name="Normal" xfId="0" builtinId="0"/>
    <cellStyle name="Normal_Fall 11 credits" xfId="2"/>
    <cellStyle name="Normal_FY13 credits" xfId="5"/>
    <cellStyle name="Normal_FY14 credits" xfId="6"/>
    <cellStyle name="Normal_Sheet2" xfId="3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="145" zoomScaleNormal="145" zoomScaleSheetLayoutView="115" workbookViewId="0">
      <selection activeCell="A3" sqref="A3"/>
    </sheetView>
  </sheetViews>
  <sheetFormatPr defaultRowHeight="15"/>
  <cols>
    <col min="1" max="1" width="36.140625" customWidth="1"/>
    <col min="2" max="4" width="16.7109375" customWidth="1"/>
    <col min="5" max="5" width="18.42578125" bestFit="1" customWidth="1"/>
    <col min="6" max="6" width="17.7109375" customWidth="1"/>
  </cols>
  <sheetData>
    <row r="1" spans="1:6">
      <c r="A1" s="22" t="s">
        <v>128</v>
      </c>
    </row>
    <row r="2" spans="1:6">
      <c r="A2" t="s">
        <v>127</v>
      </c>
    </row>
    <row r="4" spans="1:6">
      <c r="A4" s="7" t="s">
        <v>0</v>
      </c>
      <c r="B4" t="s">
        <v>21</v>
      </c>
      <c r="C4" t="s">
        <v>20</v>
      </c>
      <c r="D4" t="s">
        <v>91</v>
      </c>
      <c r="E4" t="s">
        <v>71</v>
      </c>
      <c r="F4" s="19"/>
    </row>
    <row r="5" spans="1:6">
      <c r="A5" t="s">
        <v>1</v>
      </c>
      <c r="B5" s="19">
        <v>584380.93999999994</v>
      </c>
      <c r="C5" s="19">
        <f>'FY12 credits'!E12</f>
        <v>701468.39999999967</v>
      </c>
      <c r="D5" s="19">
        <f>'FY13 credits'!I101</f>
        <v>781572</v>
      </c>
      <c r="E5" s="19">
        <f>'FY14 credits'!G50</f>
        <v>802506</v>
      </c>
      <c r="F5" s="19"/>
    </row>
    <row r="6" spans="1:6">
      <c r="A6" s="23" t="s">
        <v>124</v>
      </c>
      <c r="B6" s="20">
        <v>59668.49</v>
      </c>
      <c r="C6" s="20">
        <f>'FY12 waivers'!B10</f>
        <v>87492.56</v>
      </c>
      <c r="D6" s="20">
        <f>'FY13 waivers'!B9</f>
        <v>96304</v>
      </c>
      <c r="E6" s="20">
        <f>'FY14 waivers'!B9</f>
        <v>95000</v>
      </c>
      <c r="F6" s="20"/>
    </row>
    <row r="7" spans="1:6">
      <c r="A7" s="22" t="s">
        <v>27</v>
      </c>
      <c r="B7" s="21">
        <f>B5-B6</f>
        <v>524712.44999999995</v>
      </c>
      <c r="C7" s="21">
        <f>C5-C6</f>
        <v>613975.83999999962</v>
      </c>
      <c r="D7" s="21">
        <f>D5-D6</f>
        <v>685268</v>
      </c>
      <c r="E7" s="21">
        <f>E5-E6</f>
        <v>707506</v>
      </c>
      <c r="F7" s="19"/>
    </row>
    <row r="8" spans="1:6">
      <c r="E8" s="19"/>
      <c r="F8" s="19"/>
    </row>
    <row r="9" spans="1:6">
      <c r="A9" s="7" t="s">
        <v>99</v>
      </c>
      <c r="C9" t="s">
        <v>22</v>
      </c>
      <c r="D9" t="s">
        <v>77</v>
      </c>
      <c r="E9" s="19" t="s">
        <v>72</v>
      </c>
      <c r="F9" s="19"/>
    </row>
    <row r="10" spans="1:6">
      <c r="A10" t="s">
        <v>24</v>
      </c>
      <c r="C10" s="19">
        <f>C7-B7</f>
        <v>89263.389999999665</v>
      </c>
      <c r="D10" s="19">
        <f>D7-C7</f>
        <v>71292.160000000382</v>
      </c>
      <c r="E10" s="19">
        <f>E7-D7</f>
        <v>22238</v>
      </c>
      <c r="F10" s="19"/>
    </row>
    <row r="11" spans="1:6">
      <c r="A11" t="s">
        <v>23</v>
      </c>
      <c r="C11" s="10">
        <f>(C7-B7)/B7</f>
        <v>0.17011868119386089</v>
      </c>
      <c r="D11" s="9">
        <f>(D7-C7)/C7</f>
        <v>0.11611557874980948</v>
      </c>
      <c r="E11" s="9">
        <f>(E7-D7)/D7</f>
        <v>3.2451537208800063E-2</v>
      </c>
      <c r="F11" s="19"/>
    </row>
    <row r="12" spans="1:6">
      <c r="E12" s="19"/>
      <c r="F12" s="19"/>
    </row>
    <row r="13" spans="1:6">
      <c r="A13" s="7" t="s">
        <v>25</v>
      </c>
      <c r="B13" t="s">
        <v>21</v>
      </c>
      <c r="C13" t="s">
        <v>20</v>
      </c>
      <c r="D13" t="s">
        <v>91</v>
      </c>
      <c r="E13" s="19" t="s">
        <v>71</v>
      </c>
      <c r="F13" s="19" t="s">
        <v>100</v>
      </c>
    </row>
    <row r="14" spans="1:6" s="36" customFormat="1" ht="15.75" thickBot="1">
      <c r="A14" s="36" t="s">
        <v>26</v>
      </c>
      <c r="B14" s="37">
        <f>'FY 11 costs'!B9</f>
        <v>510685</v>
      </c>
      <c r="C14" s="37">
        <f>'FY12 costs'!B8</f>
        <v>550505</v>
      </c>
      <c r="D14" s="37">
        <f>'FY13 costs'!B8</f>
        <v>502930</v>
      </c>
      <c r="E14" s="37">
        <f>'FY14 costs'!B9</f>
        <v>463230</v>
      </c>
      <c r="F14" s="37">
        <f>'FY14 costs'!B19</f>
        <v>523781</v>
      </c>
    </row>
    <row r="15" spans="1:6" ht="15.75" thickBot="1">
      <c r="A15" s="38" t="s">
        <v>126</v>
      </c>
      <c r="B15" s="39">
        <f>B7-B14</f>
        <v>14027.449999999953</v>
      </c>
      <c r="C15" s="39">
        <f>C7-C14</f>
        <v>63470.839999999618</v>
      </c>
      <c r="D15" s="39">
        <f>D7-D14</f>
        <v>182338</v>
      </c>
      <c r="E15" s="39">
        <f>E7-E14</f>
        <v>244276</v>
      </c>
      <c r="F15" s="40">
        <f>E7-F14</f>
        <v>183725</v>
      </c>
    </row>
    <row r="16" spans="1:6">
      <c r="A16" t="s">
        <v>68</v>
      </c>
      <c r="B16" s="10">
        <f>B15/B5</f>
        <v>2.4003948520292182E-2</v>
      </c>
      <c r="C16" s="10">
        <f>C15/C5</f>
        <v>9.0482821464230812E-2</v>
      </c>
      <c r="D16" s="10">
        <f>D15/D5</f>
        <v>0.23329648452093985</v>
      </c>
      <c r="E16" s="10">
        <f>E15/E5</f>
        <v>0.30439149364615342</v>
      </c>
      <c r="F16" s="10">
        <f>F15/E5</f>
        <v>0.22893909827465464</v>
      </c>
    </row>
    <row r="17" spans="1:6">
      <c r="A17" t="s">
        <v>69</v>
      </c>
      <c r="B17" s="10">
        <f>B15/B7</f>
        <v>2.6733594752706848E-2</v>
      </c>
      <c r="C17" s="10">
        <f>C15/C7</f>
        <v>0.10337677130748281</v>
      </c>
      <c r="D17" s="10">
        <f>D15/D7</f>
        <v>0.26608275886222615</v>
      </c>
      <c r="E17" s="10">
        <f>E15/E7</f>
        <v>0.34526350306569836</v>
      </c>
      <c r="F17" s="10">
        <f>F15/E7</f>
        <v>0.25967977656726587</v>
      </c>
    </row>
    <row r="19" spans="1:6">
      <c r="A19" s="7" t="s">
        <v>106</v>
      </c>
      <c r="C19" t="s">
        <v>22</v>
      </c>
      <c r="D19" t="s">
        <v>77</v>
      </c>
      <c r="E19" s="19" t="s">
        <v>72</v>
      </c>
      <c r="F19" s="19" t="s">
        <v>125</v>
      </c>
    </row>
    <row r="20" spans="1:6">
      <c r="A20" t="s">
        <v>24</v>
      </c>
      <c r="C20" s="19">
        <f>C15-B15</f>
        <v>49443.389999999665</v>
      </c>
      <c r="D20" s="19">
        <f t="shared" ref="D20:E20" si="0">D15-C15</f>
        <v>118867.16000000038</v>
      </c>
      <c r="E20" s="19">
        <f t="shared" si="0"/>
        <v>61938</v>
      </c>
      <c r="F20" s="35">
        <f>F15-D15</f>
        <v>1387</v>
      </c>
    </row>
    <row r="21" spans="1:6">
      <c r="A21" t="s">
        <v>23</v>
      </c>
      <c r="C21" s="10">
        <f>(C15-B15)/B15</f>
        <v>3.5247596676516282</v>
      </c>
      <c r="D21" s="10">
        <f t="shared" ref="D21:E21" si="1">(D15-C15)/C15</f>
        <v>1.872783785435975</v>
      </c>
      <c r="E21" s="10">
        <f t="shared" si="1"/>
        <v>0.33968783248691992</v>
      </c>
      <c r="F21" s="10">
        <f>(F15-D15)/D15</f>
        <v>7.6067522951880576E-3</v>
      </c>
    </row>
  </sheetData>
  <phoneticPr fontId="6" type="noConversion"/>
  <pageMargins left="0.25" right="0.25" top="0.75" bottom="0.75" header="0.3" footer="0.3"/>
  <pageSetup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4" sqref="B4"/>
    </sheetView>
  </sheetViews>
  <sheetFormatPr defaultRowHeight="15"/>
  <cols>
    <col min="1" max="1" width="22.28515625" bestFit="1" customWidth="1"/>
  </cols>
  <sheetData>
    <row r="1" spans="1:2">
      <c r="A1" t="s">
        <v>15</v>
      </c>
      <c r="B1">
        <v>85000</v>
      </c>
    </row>
    <row r="3" spans="1:2">
      <c r="A3" t="s">
        <v>16</v>
      </c>
      <c r="B3">
        <v>10000</v>
      </c>
    </row>
    <row r="5" spans="1:2">
      <c r="A5" t="s">
        <v>17</v>
      </c>
      <c r="B5">
        <v>0</v>
      </c>
    </row>
    <row r="7" spans="1:2">
      <c r="A7" t="s">
        <v>18</v>
      </c>
      <c r="B7">
        <v>0</v>
      </c>
    </row>
    <row r="9" spans="1:2">
      <c r="A9" t="s">
        <v>19</v>
      </c>
      <c r="B9">
        <f>SUM(B1:B7)</f>
        <v>95000</v>
      </c>
    </row>
  </sheetData>
  <phoneticPr fontId="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B18" sqref="B18"/>
    </sheetView>
  </sheetViews>
  <sheetFormatPr defaultRowHeight="15"/>
  <sheetData>
    <row r="1" spans="1:13">
      <c r="A1" t="s">
        <v>103</v>
      </c>
    </row>
    <row r="2" spans="1:13">
      <c r="A2" t="s">
        <v>79</v>
      </c>
      <c r="B2">
        <f>1785*20</f>
        <v>35700</v>
      </c>
      <c r="C2" t="s">
        <v>81</v>
      </c>
    </row>
    <row r="3" spans="1:13">
      <c r="A3" t="s">
        <v>29</v>
      </c>
      <c r="B3">
        <f>124931+(8329*5)</f>
        <v>166576</v>
      </c>
      <c r="C3" t="s">
        <v>80</v>
      </c>
    </row>
    <row r="4" spans="1:13">
      <c r="A4" t="s">
        <v>83</v>
      </c>
      <c r="B4">
        <f>72900+(5334*5)-30000</f>
        <v>69570</v>
      </c>
      <c r="C4" t="s">
        <v>101</v>
      </c>
    </row>
    <row r="5" spans="1:13">
      <c r="A5" t="s">
        <v>84</v>
      </c>
      <c r="B5">
        <f>35132+(3259*5)</f>
        <v>51427</v>
      </c>
      <c r="C5" t="s">
        <v>86</v>
      </c>
    </row>
    <row r="6" spans="1:13">
      <c r="B6">
        <v>75000</v>
      </c>
      <c r="C6" t="s">
        <v>104</v>
      </c>
    </row>
    <row r="7" spans="1:13">
      <c r="A7">
        <v>25102</v>
      </c>
      <c r="B7">
        <v>7400</v>
      </c>
    </row>
    <row r="8" spans="1:13">
      <c r="A8" s="23">
        <v>25101</v>
      </c>
      <c r="B8" s="23">
        <v>93257</v>
      </c>
      <c r="C8" t="s">
        <v>78</v>
      </c>
    </row>
    <row r="9" spans="1:13">
      <c r="A9" t="s">
        <v>31</v>
      </c>
      <c r="B9">
        <f>SUM(B3:B8)</f>
        <v>463230</v>
      </c>
      <c r="M9">
        <f>B4-34000</f>
        <v>35570</v>
      </c>
    </row>
    <row r="10" spans="1:13">
      <c r="M10">
        <f>M9-34000</f>
        <v>1570</v>
      </c>
    </row>
    <row r="11" spans="1:13">
      <c r="A11" t="s">
        <v>102</v>
      </c>
    </row>
    <row r="12" spans="1:13">
      <c r="A12" t="s">
        <v>79</v>
      </c>
      <c r="B12">
        <f>1785*20</f>
        <v>35700</v>
      </c>
      <c r="C12" t="s">
        <v>81</v>
      </c>
    </row>
    <row r="13" spans="1:13">
      <c r="A13" t="s">
        <v>29</v>
      </c>
      <c r="B13">
        <f>124931+(8329*5)</f>
        <v>166576</v>
      </c>
      <c r="C13" t="s">
        <v>80</v>
      </c>
    </row>
    <row r="14" spans="1:13">
      <c r="A14" t="s">
        <v>83</v>
      </c>
      <c r="B14">
        <v>69570</v>
      </c>
      <c r="C14" t="s">
        <v>85</v>
      </c>
    </row>
    <row r="15" spans="1:13">
      <c r="A15" t="s">
        <v>84</v>
      </c>
      <c r="B15">
        <f>35132+(3259*5)</f>
        <v>51427</v>
      </c>
      <c r="C15" t="s">
        <v>86</v>
      </c>
    </row>
    <row r="16" spans="1:13">
      <c r="B16">
        <v>75000</v>
      </c>
      <c r="C16" t="s">
        <v>105</v>
      </c>
    </row>
    <row r="17" spans="1:3">
      <c r="A17">
        <v>25102</v>
      </c>
      <c r="B17">
        <v>39020</v>
      </c>
    </row>
    <row r="18" spans="1:3">
      <c r="A18" s="23">
        <v>25101</v>
      </c>
      <c r="B18" s="23">
        <v>122188</v>
      </c>
      <c r="C18" t="s">
        <v>78</v>
      </c>
    </row>
    <row r="19" spans="1:3">
      <c r="A19" t="s">
        <v>31</v>
      </c>
      <c r="B19">
        <f>SUM(B13:B18)</f>
        <v>523781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50"/>
  <sheetViews>
    <sheetView topLeftCell="A19" workbookViewId="0">
      <selection activeCell="G50" sqref="G50"/>
    </sheetView>
  </sheetViews>
  <sheetFormatPr defaultRowHeight="15"/>
  <cols>
    <col min="1" max="1" width="11.28515625" bestFit="1" customWidth="1"/>
  </cols>
  <sheetData>
    <row r="1" spans="1:18">
      <c r="A1" t="s">
        <v>75</v>
      </c>
      <c r="B1" t="s">
        <v>73</v>
      </c>
      <c r="C1" t="s">
        <v>74</v>
      </c>
    </row>
    <row r="2" spans="1:18">
      <c r="A2">
        <v>2</v>
      </c>
      <c r="B2" s="17">
        <f>276.6*2</f>
        <v>553.20000000000005</v>
      </c>
      <c r="C2" s="17">
        <f>668.63*2</f>
        <v>1337.26</v>
      </c>
    </row>
    <row r="3" spans="1:18">
      <c r="A3">
        <v>4</v>
      </c>
      <c r="B3" s="17">
        <f>B2*2</f>
        <v>1106.4000000000001</v>
      </c>
      <c r="C3" s="17">
        <f>668.63*4</f>
        <v>2674.52</v>
      </c>
    </row>
    <row r="4" spans="1:18">
      <c r="A4">
        <v>6</v>
      </c>
      <c r="B4" s="17">
        <f>B2*3</f>
        <v>1659.6000000000001</v>
      </c>
      <c r="C4" s="17">
        <f>668.63*6</f>
        <v>4011.7799999999997</v>
      </c>
    </row>
    <row r="5" spans="1:18">
      <c r="A5">
        <v>8</v>
      </c>
      <c r="B5" s="17">
        <f>B2*4</f>
        <v>2212.8000000000002</v>
      </c>
      <c r="C5" s="17">
        <f>668.63*8</f>
        <v>5349.04</v>
      </c>
    </row>
    <row r="6" spans="1:18">
      <c r="A6">
        <v>10</v>
      </c>
      <c r="B6">
        <f>B2*5</f>
        <v>2766</v>
      </c>
      <c r="C6">
        <v>6686</v>
      </c>
    </row>
    <row r="7" spans="1:18">
      <c r="A7">
        <v>12</v>
      </c>
      <c r="B7">
        <v>2766</v>
      </c>
      <c r="C7">
        <v>6686</v>
      </c>
    </row>
    <row r="8" spans="1:18">
      <c r="A8">
        <v>14</v>
      </c>
      <c r="B8">
        <v>2766</v>
      </c>
      <c r="C8">
        <v>6686</v>
      </c>
    </row>
    <row r="9" spans="1:18">
      <c r="A9">
        <v>16</v>
      </c>
      <c r="B9">
        <v>2766</v>
      </c>
      <c r="C9">
        <v>6686</v>
      </c>
    </row>
    <row r="13" spans="1:18">
      <c r="A13" t="s">
        <v>107</v>
      </c>
      <c r="E13" t="s">
        <v>110</v>
      </c>
      <c r="J13" t="s">
        <v>114</v>
      </c>
      <c r="O13" t="s">
        <v>118</v>
      </c>
    </row>
    <row r="14" spans="1:18">
      <c r="A14" s="31" t="s">
        <v>108</v>
      </c>
      <c r="B14" s="31" t="s">
        <v>2</v>
      </c>
      <c r="C14" s="31" t="s">
        <v>3</v>
      </c>
      <c r="E14" s="31" t="s">
        <v>108</v>
      </c>
      <c r="F14" s="31" t="s">
        <v>2</v>
      </c>
      <c r="G14" s="31" t="s">
        <v>3</v>
      </c>
      <c r="J14" s="31" t="s">
        <v>108</v>
      </c>
      <c r="K14" s="31" t="s">
        <v>2</v>
      </c>
      <c r="L14" s="31" t="s">
        <v>3</v>
      </c>
      <c r="O14" s="31" t="s">
        <v>108</v>
      </c>
      <c r="P14" s="31" t="s">
        <v>2</v>
      </c>
      <c r="Q14" s="31" t="s">
        <v>3</v>
      </c>
    </row>
    <row r="15" spans="1:18">
      <c r="A15" s="32" t="s">
        <v>109</v>
      </c>
      <c r="B15" s="33"/>
      <c r="C15" s="32"/>
      <c r="E15" s="32"/>
      <c r="F15" s="33">
        <v>2</v>
      </c>
      <c r="G15" s="32" t="s">
        <v>4</v>
      </c>
      <c r="H15">
        <v>553</v>
      </c>
      <c r="J15" s="32" t="s">
        <v>115</v>
      </c>
      <c r="K15" s="33">
        <v>2</v>
      </c>
      <c r="L15" s="32" t="s">
        <v>4</v>
      </c>
      <c r="M15">
        <v>553</v>
      </c>
      <c r="O15" s="32" t="s">
        <v>115</v>
      </c>
      <c r="P15" s="33">
        <v>2</v>
      </c>
      <c r="Q15" s="32" t="s">
        <v>4</v>
      </c>
      <c r="R15">
        <v>553</v>
      </c>
    </row>
    <row r="16" spans="1:18">
      <c r="A16" s="32" t="s">
        <v>109</v>
      </c>
      <c r="B16" s="33">
        <v>8</v>
      </c>
      <c r="C16" s="32" t="s">
        <v>5</v>
      </c>
      <c r="D16">
        <v>5349</v>
      </c>
      <c r="E16" s="32"/>
      <c r="F16" s="33">
        <v>2</v>
      </c>
      <c r="G16" s="32" t="s">
        <v>4</v>
      </c>
      <c r="H16">
        <v>553</v>
      </c>
      <c r="J16" s="32" t="s">
        <v>116</v>
      </c>
      <c r="K16" s="33">
        <v>2</v>
      </c>
      <c r="L16" s="32" t="s">
        <v>4</v>
      </c>
      <c r="M16">
        <v>553</v>
      </c>
      <c r="O16" s="32" t="s">
        <v>117</v>
      </c>
      <c r="P16" s="33">
        <v>2</v>
      </c>
      <c r="Q16" s="32" t="s">
        <v>4</v>
      </c>
      <c r="R16">
        <v>553</v>
      </c>
    </row>
    <row r="17" spans="1:18">
      <c r="A17" s="32" t="s">
        <v>109</v>
      </c>
      <c r="B17" s="33">
        <v>12</v>
      </c>
      <c r="C17" s="32" t="s">
        <v>5</v>
      </c>
      <c r="D17">
        <v>6686</v>
      </c>
      <c r="E17" s="32"/>
      <c r="F17" s="33">
        <v>2</v>
      </c>
      <c r="G17" s="32" t="s">
        <v>4</v>
      </c>
      <c r="H17">
        <v>553</v>
      </c>
      <c r="J17" s="32" t="s">
        <v>117</v>
      </c>
      <c r="K17" s="33">
        <v>2</v>
      </c>
      <c r="L17" s="32" t="s">
        <v>4</v>
      </c>
      <c r="M17">
        <v>553</v>
      </c>
      <c r="O17" s="32" t="s">
        <v>117</v>
      </c>
      <c r="P17" s="33">
        <v>2</v>
      </c>
      <c r="Q17" s="32" t="s">
        <v>4</v>
      </c>
      <c r="R17">
        <v>553</v>
      </c>
    </row>
    <row r="18" spans="1:18">
      <c r="A18" s="32" t="s">
        <v>109</v>
      </c>
      <c r="B18" s="33">
        <v>12</v>
      </c>
      <c r="C18" s="32" t="s">
        <v>5</v>
      </c>
      <c r="D18">
        <v>6686</v>
      </c>
      <c r="E18" s="32"/>
      <c r="F18" s="33">
        <v>4</v>
      </c>
      <c r="G18" s="32" t="s">
        <v>4</v>
      </c>
      <c r="H18">
        <v>1106</v>
      </c>
      <c r="J18" s="32" t="s">
        <v>117</v>
      </c>
      <c r="K18" s="33">
        <v>2</v>
      </c>
      <c r="L18" s="32" t="s">
        <v>4</v>
      </c>
      <c r="M18">
        <v>553</v>
      </c>
      <c r="O18" s="32" t="s">
        <v>111</v>
      </c>
      <c r="P18" s="33">
        <v>2</v>
      </c>
      <c r="Q18" s="32" t="s">
        <v>4</v>
      </c>
      <c r="R18">
        <v>553</v>
      </c>
    </row>
    <row r="19" spans="1:18">
      <c r="A19" s="32" t="s">
        <v>109</v>
      </c>
      <c r="B19" s="33">
        <v>12</v>
      </c>
      <c r="C19" s="32" t="s">
        <v>5</v>
      </c>
      <c r="D19">
        <v>6686</v>
      </c>
      <c r="E19" s="32"/>
      <c r="F19" s="33">
        <v>4</v>
      </c>
      <c r="G19" s="32" t="s">
        <v>4</v>
      </c>
      <c r="H19">
        <v>1106</v>
      </c>
      <c r="J19" s="32" t="s">
        <v>111</v>
      </c>
      <c r="K19" s="33">
        <v>2</v>
      </c>
      <c r="L19" s="32" t="s">
        <v>4</v>
      </c>
      <c r="M19">
        <v>553</v>
      </c>
      <c r="O19" s="32" t="s">
        <v>112</v>
      </c>
      <c r="P19" s="33">
        <v>2</v>
      </c>
      <c r="Q19" s="32" t="s">
        <v>4</v>
      </c>
      <c r="R19">
        <v>553</v>
      </c>
    </row>
    <row r="20" spans="1:18">
      <c r="A20" s="32" t="s">
        <v>109</v>
      </c>
      <c r="B20" s="33">
        <v>12</v>
      </c>
      <c r="C20" s="32" t="s">
        <v>5</v>
      </c>
      <c r="D20">
        <v>6686</v>
      </c>
      <c r="E20" s="32"/>
      <c r="F20" s="33">
        <v>4</v>
      </c>
      <c r="G20" s="32" t="s">
        <v>4</v>
      </c>
      <c r="H20">
        <v>1106</v>
      </c>
      <c r="J20" s="32" t="s">
        <v>112</v>
      </c>
      <c r="K20" s="33">
        <v>2</v>
      </c>
      <c r="L20" s="32" t="s">
        <v>4</v>
      </c>
      <c r="M20">
        <v>553</v>
      </c>
      <c r="O20" s="32" t="s">
        <v>112</v>
      </c>
      <c r="P20" s="33">
        <v>2</v>
      </c>
      <c r="Q20" s="32" t="s">
        <v>4</v>
      </c>
      <c r="R20">
        <v>553</v>
      </c>
    </row>
    <row r="21" spans="1:18">
      <c r="A21" s="32" t="s">
        <v>109</v>
      </c>
      <c r="B21" s="33">
        <v>12</v>
      </c>
      <c r="C21" s="32" t="s">
        <v>5</v>
      </c>
      <c r="D21">
        <v>6686</v>
      </c>
      <c r="E21" s="32"/>
      <c r="F21" s="33">
        <v>4</v>
      </c>
      <c r="G21" s="32" t="s">
        <v>4</v>
      </c>
      <c r="H21">
        <v>1106</v>
      </c>
      <c r="J21" s="32" t="s">
        <v>112</v>
      </c>
      <c r="K21" s="33">
        <v>2</v>
      </c>
      <c r="L21" s="32" t="s">
        <v>4</v>
      </c>
      <c r="M21">
        <v>553</v>
      </c>
      <c r="O21" s="32" t="s">
        <v>113</v>
      </c>
      <c r="P21" s="33">
        <v>4</v>
      </c>
      <c r="Q21" s="32" t="s">
        <v>4</v>
      </c>
      <c r="R21">
        <v>1106</v>
      </c>
    </row>
    <row r="22" spans="1:18">
      <c r="A22" s="32" t="s">
        <v>109</v>
      </c>
      <c r="B22" s="33">
        <v>12</v>
      </c>
      <c r="C22" s="32" t="s">
        <v>5</v>
      </c>
      <c r="D22">
        <v>6686</v>
      </c>
      <c r="E22" s="32"/>
      <c r="F22" s="33">
        <v>4</v>
      </c>
      <c r="G22" s="32" t="s">
        <v>4</v>
      </c>
      <c r="H22">
        <v>1106</v>
      </c>
      <c r="J22" s="32" t="s">
        <v>112</v>
      </c>
      <c r="K22" s="33">
        <v>2</v>
      </c>
      <c r="L22" s="32" t="s">
        <v>4</v>
      </c>
      <c r="M22">
        <v>553</v>
      </c>
      <c r="O22" s="32" t="s">
        <v>113</v>
      </c>
      <c r="P22" s="33">
        <v>4</v>
      </c>
      <c r="Q22" s="32" t="s">
        <v>4</v>
      </c>
      <c r="R22">
        <v>1106</v>
      </c>
    </row>
    <row r="23" spans="1:18">
      <c r="A23" s="32" t="s">
        <v>109</v>
      </c>
      <c r="B23" s="33">
        <v>12</v>
      </c>
      <c r="C23" s="32" t="s">
        <v>5</v>
      </c>
      <c r="D23">
        <v>6686</v>
      </c>
      <c r="E23" s="32"/>
      <c r="F23" s="33">
        <v>4</v>
      </c>
      <c r="G23" s="32" t="s">
        <v>4</v>
      </c>
      <c r="H23">
        <v>1106</v>
      </c>
      <c r="J23" s="32" t="s">
        <v>113</v>
      </c>
      <c r="K23" s="33">
        <v>2</v>
      </c>
      <c r="L23" s="32" t="s">
        <v>4</v>
      </c>
      <c r="M23">
        <v>553</v>
      </c>
      <c r="O23" s="32" t="s">
        <v>113</v>
      </c>
      <c r="P23" s="33">
        <v>4</v>
      </c>
      <c r="Q23" s="32" t="s">
        <v>4</v>
      </c>
      <c r="R23">
        <v>1106</v>
      </c>
    </row>
    <row r="24" spans="1:18">
      <c r="A24" s="32" t="s">
        <v>109</v>
      </c>
      <c r="B24" s="33">
        <v>12</v>
      </c>
      <c r="C24" s="32" t="s">
        <v>5</v>
      </c>
      <c r="D24">
        <v>6686</v>
      </c>
      <c r="E24" s="32"/>
      <c r="F24" s="33">
        <v>4</v>
      </c>
      <c r="G24" s="32" t="s">
        <v>4</v>
      </c>
      <c r="H24">
        <v>1106</v>
      </c>
      <c r="J24" s="32" t="s">
        <v>113</v>
      </c>
      <c r="K24" s="33">
        <v>2</v>
      </c>
      <c r="L24" s="32" t="s">
        <v>4</v>
      </c>
      <c r="M24">
        <v>553</v>
      </c>
      <c r="O24" s="32" t="s">
        <v>113</v>
      </c>
      <c r="P24" s="33"/>
      <c r="Q24" s="32" t="s">
        <v>14</v>
      </c>
      <c r="R24">
        <f>SUM(R15:R23)</f>
        <v>6636</v>
      </c>
    </row>
    <row r="25" spans="1:18">
      <c r="A25" s="32" t="s">
        <v>109</v>
      </c>
      <c r="B25" s="33">
        <v>12</v>
      </c>
      <c r="C25" s="32" t="s">
        <v>5</v>
      </c>
      <c r="D25">
        <v>6686</v>
      </c>
      <c r="E25" s="32"/>
      <c r="F25" s="33">
        <v>6</v>
      </c>
      <c r="G25" s="32" t="s">
        <v>4</v>
      </c>
      <c r="H25">
        <v>1660</v>
      </c>
      <c r="J25" s="32" t="s">
        <v>113</v>
      </c>
      <c r="K25" s="33">
        <v>2</v>
      </c>
      <c r="L25" s="32" t="s">
        <v>4</v>
      </c>
      <c r="M25">
        <v>553</v>
      </c>
      <c r="O25" s="32" t="s">
        <v>113</v>
      </c>
      <c r="P25" s="33"/>
      <c r="Q25" s="32"/>
    </row>
    <row r="26" spans="1:18">
      <c r="A26" s="32" t="s">
        <v>109</v>
      </c>
      <c r="B26" s="33">
        <v>8</v>
      </c>
      <c r="C26" s="32" t="s">
        <v>4</v>
      </c>
      <c r="D26">
        <v>2213</v>
      </c>
      <c r="E26" s="32"/>
      <c r="F26" s="33">
        <v>6</v>
      </c>
      <c r="G26" s="32" t="s">
        <v>4</v>
      </c>
      <c r="H26">
        <v>1660</v>
      </c>
      <c r="J26" s="32" t="s">
        <v>113</v>
      </c>
      <c r="K26" s="33">
        <v>4</v>
      </c>
      <c r="L26" s="32" t="s">
        <v>4</v>
      </c>
      <c r="M26">
        <v>1106</v>
      </c>
      <c r="O26" s="32" t="s">
        <v>113</v>
      </c>
      <c r="P26" s="33"/>
      <c r="Q26" s="32"/>
    </row>
    <row r="27" spans="1:18">
      <c r="A27" s="32" t="s">
        <v>109</v>
      </c>
      <c r="B27" s="33">
        <v>8</v>
      </c>
      <c r="C27" s="32" t="s">
        <v>4</v>
      </c>
      <c r="D27">
        <v>2213</v>
      </c>
      <c r="E27" s="32"/>
      <c r="F27" s="33">
        <v>6</v>
      </c>
      <c r="G27" s="32" t="s">
        <v>4</v>
      </c>
      <c r="H27">
        <v>1660</v>
      </c>
      <c r="J27" s="32" t="s">
        <v>113</v>
      </c>
      <c r="K27" s="33">
        <v>4</v>
      </c>
      <c r="L27" s="32" t="s">
        <v>4</v>
      </c>
      <c r="M27">
        <v>1106</v>
      </c>
      <c r="O27" s="32" t="s">
        <v>113</v>
      </c>
      <c r="P27" s="33"/>
      <c r="Q27" s="32"/>
    </row>
    <row r="28" spans="1:18">
      <c r="A28" s="32" t="s">
        <v>109</v>
      </c>
      <c r="B28" s="33">
        <v>8</v>
      </c>
      <c r="C28" s="32" t="s">
        <v>4</v>
      </c>
      <c r="D28">
        <v>2213</v>
      </c>
      <c r="E28" s="32"/>
      <c r="F28" s="33">
        <v>6</v>
      </c>
      <c r="G28" s="32" t="s">
        <v>4</v>
      </c>
      <c r="H28">
        <v>1660</v>
      </c>
      <c r="J28" s="32" t="s">
        <v>113</v>
      </c>
      <c r="K28" s="33"/>
      <c r="L28" s="32" t="s">
        <v>14</v>
      </c>
      <c r="M28">
        <f>SUM(M15:M27)</f>
        <v>8295</v>
      </c>
      <c r="O28" s="32" t="s">
        <v>113</v>
      </c>
      <c r="P28" s="33"/>
      <c r="Q28" s="32"/>
    </row>
    <row r="29" spans="1:18">
      <c r="A29" s="32" t="s">
        <v>109</v>
      </c>
      <c r="B29" s="33">
        <v>8</v>
      </c>
      <c r="C29" s="32" t="s">
        <v>4</v>
      </c>
      <c r="D29">
        <v>2213</v>
      </c>
      <c r="E29" s="32"/>
      <c r="F29" s="33"/>
      <c r="G29" s="32" t="s">
        <v>14</v>
      </c>
      <c r="H29">
        <f>SUM(H15:H28)</f>
        <v>16041</v>
      </c>
      <c r="J29" s="32" t="s">
        <v>113</v>
      </c>
      <c r="K29" s="33"/>
      <c r="L29" s="32"/>
    </row>
    <row r="30" spans="1:18">
      <c r="A30" s="32" t="s">
        <v>109</v>
      </c>
      <c r="B30" s="33">
        <v>8</v>
      </c>
      <c r="C30" s="32" t="s">
        <v>4</v>
      </c>
      <c r="D30">
        <v>2213</v>
      </c>
      <c r="E30" s="32"/>
      <c r="F30" s="33"/>
      <c r="G30" s="32"/>
      <c r="J30" s="32" t="s">
        <v>113</v>
      </c>
      <c r="K30" s="33"/>
      <c r="L30" s="32"/>
    </row>
    <row r="31" spans="1:18">
      <c r="A31" s="32" t="s">
        <v>109</v>
      </c>
      <c r="B31" s="33">
        <v>8</v>
      </c>
      <c r="C31" s="32" t="s">
        <v>4</v>
      </c>
      <c r="D31">
        <v>2213</v>
      </c>
      <c r="E31" s="32"/>
      <c r="F31" s="33"/>
      <c r="G31" s="32"/>
      <c r="J31" s="32" t="s">
        <v>113</v>
      </c>
      <c r="K31" s="33"/>
      <c r="L31" s="32"/>
    </row>
    <row r="32" spans="1:18">
      <c r="A32" s="32" t="s">
        <v>109</v>
      </c>
      <c r="B32" s="33">
        <v>10</v>
      </c>
      <c r="C32" s="32" t="s">
        <v>4</v>
      </c>
      <c r="D32">
        <v>2766</v>
      </c>
      <c r="E32" s="32"/>
      <c r="F32" s="33"/>
      <c r="G32" s="32"/>
      <c r="J32" s="32" t="s">
        <v>113</v>
      </c>
      <c r="K32" s="33"/>
      <c r="L32" s="32"/>
    </row>
    <row r="33" spans="1:12">
      <c r="A33" s="32" t="s">
        <v>109</v>
      </c>
      <c r="B33" s="33">
        <v>10</v>
      </c>
      <c r="C33" s="32" t="s">
        <v>4</v>
      </c>
      <c r="D33">
        <v>2766</v>
      </c>
      <c r="E33" s="32"/>
      <c r="F33" s="33"/>
      <c r="G33" s="32"/>
      <c r="J33" s="32" t="s">
        <v>113</v>
      </c>
      <c r="K33" s="33"/>
      <c r="L33" s="32"/>
    </row>
    <row r="34" spans="1:12">
      <c r="A34" s="32" t="s">
        <v>109</v>
      </c>
      <c r="B34" s="33">
        <v>12</v>
      </c>
      <c r="C34" s="32" t="s">
        <v>4</v>
      </c>
      <c r="D34">
        <v>2766</v>
      </c>
    </row>
    <row r="35" spans="1:12">
      <c r="A35" s="32" t="s">
        <v>109</v>
      </c>
      <c r="B35" s="33">
        <v>12</v>
      </c>
      <c r="C35" s="32" t="s">
        <v>4</v>
      </c>
      <c r="D35">
        <v>2766</v>
      </c>
    </row>
    <row r="36" spans="1:12">
      <c r="A36" s="32" t="s">
        <v>109</v>
      </c>
      <c r="B36" s="33">
        <v>12</v>
      </c>
      <c r="C36" s="32" t="s">
        <v>4</v>
      </c>
      <c r="D36">
        <v>2766</v>
      </c>
    </row>
    <row r="37" spans="1:12">
      <c r="A37" s="32" t="s">
        <v>109</v>
      </c>
      <c r="B37" s="33">
        <v>12</v>
      </c>
      <c r="C37" s="32" t="s">
        <v>4</v>
      </c>
      <c r="D37">
        <v>2766</v>
      </c>
    </row>
    <row r="38" spans="1:12">
      <c r="A38" s="32" t="s">
        <v>109</v>
      </c>
      <c r="B38" s="33">
        <v>12</v>
      </c>
      <c r="C38" s="32" t="s">
        <v>4</v>
      </c>
      <c r="D38">
        <v>2766</v>
      </c>
    </row>
    <row r="39" spans="1:12">
      <c r="A39" s="32" t="s">
        <v>109</v>
      </c>
      <c r="B39" s="33">
        <v>12</v>
      </c>
      <c r="C39" s="32" t="s">
        <v>4</v>
      </c>
      <c r="D39">
        <v>2766</v>
      </c>
    </row>
    <row r="40" spans="1:12">
      <c r="A40" s="32" t="s">
        <v>109</v>
      </c>
      <c r="B40" s="33">
        <v>12</v>
      </c>
      <c r="C40" s="32" t="s">
        <v>4</v>
      </c>
      <c r="D40">
        <v>2766</v>
      </c>
    </row>
    <row r="41" spans="1:12">
      <c r="A41" s="32" t="s">
        <v>109</v>
      </c>
      <c r="B41" s="33">
        <v>12</v>
      </c>
      <c r="C41" s="32" t="s">
        <v>4</v>
      </c>
      <c r="D41">
        <v>2766</v>
      </c>
    </row>
    <row r="42" spans="1:12">
      <c r="A42" s="32" t="s">
        <v>109</v>
      </c>
      <c r="B42" s="33">
        <v>12</v>
      </c>
      <c r="C42" s="32" t="s">
        <v>4</v>
      </c>
      <c r="D42">
        <v>2766</v>
      </c>
    </row>
    <row r="43" spans="1:12">
      <c r="A43" s="32" t="s">
        <v>109</v>
      </c>
      <c r="B43" s="33">
        <v>12</v>
      </c>
      <c r="C43" s="32" t="s">
        <v>4</v>
      </c>
      <c r="D43">
        <v>2766</v>
      </c>
    </row>
    <row r="44" spans="1:12">
      <c r="A44" s="32" t="s">
        <v>109</v>
      </c>
      <c r="B44" s="33">
        <v>12</v>
      </c>
      <c r="C44" s="32" t="s">
        <v>4</v>
      </c>
      <c r="D44">
        <v>2766</v>
      </c>
    </row>
    <row r="45" spans="1:12">
      <c r="A45" s="32" t="s">
        <v>109</v>
      </c>
      <c r="B45" s="33">
        <v>12</v>
      </c>
      <c r="C45" s="32" t="s">
        <v>4</v>
      </c>
      <c r="D45">
        <v>2766</v>
      </c>
    </row>
    <row r="46" spans="1:12">
      <c r="A46" s="32" t="s">
        <v>109</v>
      </c>
      <c r="B46" s="33">
        <v>12</v>
      </c>
      <c r="C46" s="32" t="s">
        <v>4</v>
      </c>
      <c r="D46">
        <v>2766</v>
      </c>
    </row>
    <row r="47" spans="1:12">
      <c r="A47" s="32" t="s">
        <v>109</v>
      </c>
      <c r="B47" s="33">
        <v>12</v>
      </c>
      <c r="C47" s="32" t="s">
        <v>4</v>
      </c>
      <c r="D47">
        <v>2766</v>
      </c>
    </row>
    <row r="48" spans="1:12">
      <c r="A48" s="32" t="s">
        <v>109</v>
      </c>
      <c r="B48" s="33">
        <v>12</v>
      </c>
      <c r="C48" s="32" t="s">
        <v>4</v>
      </c>
      <c r="D48">
        <v>2766</v>
      </c>
    </row>
    <row r="49" spans="1:8">
      <c r="A49" s="32" t="s">
        <v>109</v>
      </c>
      <c r="B49" s="33">
        <v>12</v>
      </c>
      <c r="C49" s="32" t="s">
        <v>4</v>
      </c>
      <c r="D49">
        <v>2766</v>
      </c>
      <c r="E49" t="s">
        <v>120</v>
      </c>
      <c r="F49" t="s">
        <v>121</v>
      </c>
      <c r="G49" t="s">
        <v>122</v>
      </c>
    </row>
    <row r="50" spans="1:8">
      <c r="B50" s="34"/>
      <c r="D50">
        <f>SUM(D16:D49)</f>
        <v>128589</v>
      </c>
      <c r="E50">
        <f>D50*2</f>
        <v>257178</v>
      </c>
      <c r="F50">
        <f>E50*3</f>
        <v>771534</v>
      </c>
      <c r="G50">
        <f>F50+H29+M28+R24</f>
        <v>802506</v>
      </c>
      <c r="H50" t="s">
        <v>119</v>
      </c>
    </row>
  </sheetData>
  <sortState ref="P16:Q23">
    <sortCondition ref="P1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19" sqref="F19"/>
    </sheetView>
  </sheetViews>
  <sheetFormatPr defaultRowHeight="15"/>
  <cols>
    <col min="1" max="1" width="36.140625" customWidth="1"/>
    <col min="2" max="4" width="16.7109375" customWidth="1"/>
    <col min="5" max="5" width="18.42578125" bestFit="1" customWidth="1"/>
    <col min="6" max="6" width="17.7109375" customWidth="1"/>
  </cols>
  <sheetData>
    <row r="1" spans="1:6">
      <c r="A1" s="22" t="s">
        <v>70</v>
      </c>
    </row>
    <row r="2" spans="1:6">
      <c r="A2" t="s">
        <v>123</v>
      </c>
    </row>
    <row r="4" spans="1:6">
      <c r="A4" s="7" t="s">
        <v>0</v>
      </c>
      <c r="B4" t="s">
        <v>21</v>
      </c>
      <c r="C4" t="s">
        <v>20</v>
      </c>
      <c r="D4" t="s">
        <v>91</v>
      </c>
      <c r="E4" t="s">
        <v>71</v>
      </c>
      <c r="F4" s="19"/>
    </row>
    <row r="5" spans="1:6">
      <c r="A5" t="s">
        <v>1</v>
      </c>
      <c r="B5" s="19">
        <v>584380.93999999994</v>
      </c>
      <c r="C5" s="19">
        <f>'FY12 credits'!E12</f>
        <v>701468.39999999967</v>
      </c>
      <c r="D5" s="19">
        <f>'FY13 credits'!I101</f>
        <v>781572</v>
      </c>
      <c r="E5" s="19">
        <f>'FY14 credits'!G50</f>
        <v>802506</v>
      </c>
      <c r="F5" s="19"/>
    </row>
    <row r="6" spans="1:6">
      <c r="A6" s="23" t="s">
        <v>124</v>
      </c>
      <c r="B6" s="20">
        <v>59668.49</v>
      </c>
      <c r="C6" s="20">
        <f>'FY12 waivers'!B10</f>
        <v>87492.56</v>
      </c>
      <c r="D6" s="20">
        <f>'FY13 waivers'!B9</f>
        <v>96304</v>
      </c>
      <c r="E6" s="20">
        <f>'FY14 waivers'!B9</f>
        <v>95000</v>
      </c>
      <c r="F6" s="20"/>
    </row>
    <row r="7" spans="1:6">
      <c r="A7" s="22" t="s">
        <v>27</v>
      </c>
      <c r="B7" s="21">
        <f>B5-B6</f>
        <v>524712.44999999995</v>
      </c>
      <c r="C7" s="21">
        <f>C5-C6</f>
        <v>613975.83999999962</v>
      </c>
      <c r="D7" s="21">
        <f>D5-D6</f>
        <v>685268</v>
      </c>
      <c r="E7" s="21">
        <f>E5-E6</f>
        <v>707506</v>
      </c>
      <c r="F7" s="19"/>
    </row>
    <row r="8" spans="1:6">
      <c r="E8" s="19"/>
      <c r="F8" s="19"/>
    </row>
    <row r="9" spans="1:6">
      <c r="A9" s="7" t="s">
        <v>99</v>
      </c>
      <c r="C9" t="s">
        <v>22</v>
      </c>
      <c r="D9" t="s">
        <v>77</v>
      </c>
      <c r="E9" s="19" t="s">
        <v>72</v>
      </c>
      <c r="F9" s="19"/>
    </row>
    <row r="10" spans="1:6">
      <c r="A10" t="s">
        <v>24</v>
      </c>
      <c r="C10" s="19">
        <f>C7-B7</f>
        <v>89263.389999999665</v>
      </c>
      <c r="D10" s="19">
        <f>D7-C7</f>
        <v>71292.160000000382</v>
      </c>
      <c r="E10" s="19">
        <f>E7-D7</f>
        <v>22238</v>
      </c>
      <c r="F10" s="19"/>
    </row>
    <row r="11" spans="1:6">
      <c r="A11" t="s">
        <v>23</v>
      </c>
      <c r="C11" s="10">
        <f>(C7-B7)/B7</f>
        <v>0.17011868119386089</v>
      </c>
      <c r="D11" s="9">
        <f>(D7-C7)/C7</f>
        <v>0.11611557874980948</v>
      </c>
      <c r="E11" s="9">
        <f>(E7-D7)/D7</f>
        <v>3.2451537208800063E-2</v>
      </c>
      <c r="F11" s="19"/>
    </row>
    <row r="12" spans="1:6">
      <c r="E12" s="19"/>
      <c r="F12" s="19"/>
    </row>
    <row r="13" spans="1:6">
      <c r="A13" s="7" t="s">
        <v>25</v>
      </c>
      <c r="B13" t="s">
        <v>21</v>
      </c>
      <c r="C13" t="s">
        <v>20</v>
      </c>
      <c r="D13" t="s">
        <v>91</v>
      </c>
      <c r="E13" s="19" t="s">
        <v>71</v>
      </c>
      <c r="F13" s="19" t="s">
        <v>100</v>
      </c>
    </row>
    <row r="14" spans="1:6">
      <c r="A14" t="s">
        <v>26</v>
      </c>
      <c r="B14" s="19">
        <f>'FY 11 costs'!B9</f>
        <v>510685</v>
      </c>
      <c r="C14" s="19">
        <f>'FY12 costs'!B8</f>
        <v>550505</v>
      </c>
      <c r="D14" s="19">
        <f>'FY13 costs'!B8</f>
        <v>502930</v>
      </c>
      <c r="E14" s="19">
        <f>'FY14 costs'!B9</f>
        <v>463230</v>
      </c>
      <c r="F14" s="19">
        <f>'FY14 costs'!B19</f>
        <v>523781</v>
      </c>
    </row>
    <row r="15" spans="1:6">
      <c r="A15" s="29" t="s">
        <v>28</v>
      </c>
      <c r="B15" s="30">
        <f>B7-B14</f>
        <v>14027.449999999953</v>
      </c>
      <c r="C15" s="30">
        <f>C7-C14</f>
        <v>63470.839999999618</v>
      </c>
      <c r="D15" s="30">
        <f>D7-D14</f>
        <v>182338</v>
      </c>
      <c r="E15" s="30">
        <f>E7-E14</f>
        <v>244276</v>
      </c>
      <c r="F15" s="30">
        <f>E7-F14</f>
        <v>183725</v>
      </c>
    </row>
    <row r="16" spans="1:6">
      <c r="A16" t="s">
        <v>68</v>
      </c>
      <c r="B16" s="10">
        <f>B15/B5</f>
        <v>2.4003948520292182E-2</v>
      </c>
      <c r="C16" s="10">
        <f>C15/C5</f>
        <v>9.0482821464230812E-2</v>
      </c>
      <c r="D16" s="10">
        <f>D15/D5</f>
        <v>0.23329648452093985</v>
      </c>
      <c r="E16" s="10">
        <f>E15/E5</f>
        <v>0.30439149364615342</v>
      </c>
      <c r="F16" s="10">
        <f>F15/E5</f>
        <v>0.22893909827465464</v>
      </c>
    </row>
    <row r="17" spans="1:6">
      <c r="A17" t="s">
        <v>69</v>
      </c>
      <c r="B17" s="10">
        <f>B15/B7</f>
        <v>2.6733594752706848E-2</v>
      </c>
      <c r="C17" s="10">
        <f>C15/C7</f>
        <v>0.10337677130748281</v>
      </c>
      <c r="D17" s="10">
        <f>D15/D7</f>
        <v>0.26608275886222615</v>
      </c>
      <c r="E17" s="10">
        <f>E15/E7</f>
        <v>0.34526350306569836</v>
      </c>
      <c r="F17" s="10">
        <f>F15/E7</f>
        <v>0.25967977656726587</v>
      </c>
    </row>
    <row r="19" spans="1:6">
      <c r="A19" s="7" t="s">
        <v>106</v>
      </c>
      <c r="C19" t="s">
        <v>22</v>
      </c>
      <c r="D19" t="s">
        <v>77</v>
      </c>
      <c r="E19" s="19" t="s">
        <v>72</v>
      </c>
      <c r="F19" s="19"/>
    </row>
    <row r="20" spans="1:6">
      <c r="A20" t="s">
        <v>24</v>
      </c>
      <c r="C20" s="19">
        <f>C15-B15</f>
        <v>49443.389999999665</v>
      </c>
      <c r="D20" s="19">
        <f t="shared" ref="D20:E20" si="0">D15-C15</f>
        <v>118867.16000000038</v>
      </c>
      <c r="E20" s="19">
        <f t="shared" si="0"/>
        <v>61938</v>
      </c>
    </row>
    <row r="21" spans="1:6">
      <c r="A21" t="s">
        <v>23</v>
      </c>
      <c r="C21" s="10">
        <f>(C15-B15)/B15</f>
        <v>3.5247596676516282</v>
      </c>
      <c r="D21" s="10">
        <f t="shared" ref="D21:E21" si="1">(D15-C15)/C15</f>
        <v>1.872783785435975</v>
      </c>
      <c r="E21" s="10">
        <f t="shared" si="1"/>
        <v>0.33968783248691992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E7" sqref="E7"/>
    </sheetView>
  </sheetViews>
  <sheetFormatPr defaultRowHeight="15"/>
  <cols>
    <col min="1" max="1" width="17.5703125" bestFit="1" customWidth="1"/>
    <col min="2" max="2" width="7" bestFit="1" customWidth="1"/>
  </cols>
  <sheetData>
    <row r="1" spans="1:3">
      <c r="A1" t="s">
        <v>92</v>
      </c>
    </row>
    <row r="2" spans="1:3">
      <c r="A2" t="s">
        <v>79</v>
      </c>
      <c r="B2">
        <v>35071</v>
      </c>
      <c r="C2" t="s">
        <v>82</v>
      </c>
    </row>
    <row r="3" spans="1:3">
      <c r="A3" t="s">
        <v>29</v>
      </c>
      <c r="B3">
        <v>253139</v>
      </c>
      <c r="C3" t="s">
        <v>30</v>
      </c>
    </row>
    <row r="4" spans="1:3">
      <c r="A4" t="s">
        <v>83</v>
      </c>
      <c r="B4">
        <v>17195</v>
      </c>
      <c r="C4" t="s">
        <v>93</v>
      </c>
    </row>
    <row r="5" spans="1:3">
      <c r="A5" t="s">
        <v>84</v>
      </c>
      <c r="B5">
        <v>52353</v>
      </c>
      <c r="C5" t="s">
        <v>90</v>
      </c>
    </row>
    <row r="6" spans="1:3">
      <c r="B6">
        <f>26701+30609+239+1439+37578</f>
        <v>96566</v>
      </c>
      <c r="C6" t="s">
        <v>88</v>
      </c>
    </row>
    <row r="7" spans="1:3">
      <c r="A7">
        <v>25102</v>
      </c>
      <c r="B7">
        <v>4655</v>
      </c>
    </row>
    <row r="8" spans="1:3">
      <c r="A8" s="23">
        <v>25101</v>
      </c>
      <c r="B8" s="23">
        <v>86777</v>
      </c>
      <c r="C8" t="s">
        <v>78</v>
      </c>
    </row>
    <row r="9" spans="1:3">
      <c r="A9" t="s">
        <v>31</v>
      </c>
      <c r="B9">
        <f>SUM(B3:B8)</f>
        <v>510685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9"/>
  <sheetViews>
    <sheetView topLeftCell="A79" workbookViewId="0">
      <selection activeCell="A107" sqref="A107"/>
    </sheetView>
  </sheetViews>
  <sheetFormatPr defaultRowHeight="15"/>
  <cols>
    <col min="7" max="7" width="9.5703125" bestFit="1" customWidth="1"/>
  </cols>
  <sheetData>
    <row r="1" spans="1:17">
      <c r="A1" s="1" t="s">
        <v>2</v>
      </c>
      <c r="B1" s="1" t="s">
        <v>3</v>
      </c>
      <c r="G1" s="4" t="s">
        <v>2</v>
      </c>
      <c r="H1" s="4" t="s">
        <v>3</v>
      </c>
      <c r="M1" s="4" t="s">
        <v>2</v>
      </c>
      <c r="N1" s="4" t="s">
        <v>3</v>
      </c>
    </row>
    <row r="2" spans="1:17">
      <c r="A2" s="3">
        <v>12</v>
      </c>
      <c r="B2" s="2" t="s">
        <v>5</v>
      </c>
      <c r="C2">
        <v>6683</v>
      </c>
      <c r="G2" s="6">
        <v>12</v>
      </c>
      <c r="H2" s="5" t="s">
        <v>5</v>
      </c>
      <c r="I2">
        <v>6683</v>
      </c>
      <c r="M2" s="6">
        <v>16</v>
      </c>
      <c r="N2" s="5" t="s">
        <v>5</v>
      </c>
      <c r="O2">
        <v>6683</v>
      </c>
    </row>
    <row r="3" spans="1:17">
      <c r="A3" s="3">
        <v>12</v>
      </c>
      <c r="B3" s="2" t="s">
        <v>5</v>
      </c>
      <c r="C3">
        <v>6683</v>
      </c>
      <c r="G3" s="6">
        <v>12</v>
      </c>
      <c r="H3" s="5" t="s">
        <v>5</v>
      </c>
      <c r="I3">
        <v>6683</v>
      </c>
      <c r="M3" s="6">
        <v>12</v>
      </c>
      <c r="N3" s="5" t="s">
        <v>5</v>
      </c>
      <c r="O3">
        <v>6683</v>
      </c>
    </row>
    <row r="4" spans="1:17">
      <c r="A4" s="3">
        <v>12</v>
      </c>
      <c r="B4" s="2" t="s">
        <v>5</v>
      </c>
      <c r="C4">
        <v>6683</v>
      </c>
      <c r="G4" s="6">
        <v>12</v>
      </c>
      <c r="H4" s="5" t="s">
        <v>5</v>
      </c>
      <c r="I4">
        <v>6683</v>
      </c>
      <c r="M4" s="6">
        <v>12</v>
      </c>
      <c r="N4" s="5" t="s">
        <v>5</v>
      </c>
      <c r="O4">
        <v>6683</v>
      </c>
    </row>
    <row r="5" spans="1:17">
      <c r="A5" s="3">
        <v>12</v>
      </c>
      <c r="B5" s="2" t="s">
        <v>5</v>
      </c>
      <c r="C5">
        <v>6683</v>
      </c>
      <c r="E5" t="s">
        <v>12</v>
      </c>
      <c r="G5" s="6">
        <v>12</v>
      </c>
      <c r="H5" s="5" t="s">
        <v>5</v>
      </c>
      <c r="I5">
        <v>6683</v>
      </c>
      <c r="M5" s="6">
        <v>12</v>
      </c>
      <c r="N5" s="5" t="s">
        <v>5</v>
      </c>
      <c r="O5">
        <v>6683</v>
      </c>
    </row>
    <row r="6" spans="1:17">
      <c r="A6" s="3">
        <v>12</v>
      </c>
      <c r="B6" s="2" t="s">
        <v>5</v>
      </c>
      <c r="C6">
        <v>6683</v>
      </c>
      <c r="E6">
        <f>E17+K18+Q14</f>
        <v>288705.59999999992</v>
      </c>
      <c r="G6" s="6">
        <v>12</v>
      </c>
      <c r="H6" s="5" t="s">
        <v>5</v>
      </c>
      <c r="I6">
        <v>6683</v>
      </c>
      <c r="M6" s="6">
        <v>12</v>
      </c>
      <c r="N6" s="5" t="s">
        <v>5</v>
      </c>
      <c r="O6">
        <v>6683</v>
      </c>
    </row>
    <row r="7" spans="1:17">
      <c r="A7" s="3">
        <v>12</v>
      </c>
      <c r="B7" s="2" t="s">
        <v>5</v>
      </c>
      <c r="C7">
        <v>6683</v>
      </c>
      <c r="G7" s="6">
        <v>12</v>
      </c>
      <c r="H7" s="5" t="s">
        <v>5</v>
      </c>
      <c r="I7">
        <v>6683</v>
      </c>
      <c r="M7" s="6">
        <v>12</v>
      </c>
      <c r="N7" s="5" t="s">
        <v>5</v>
      </c>
      <c r="O7">
        <v>6683</v>
      </c>
    </row>
    <row r="8" spans="1:17">
      <c r="A8" s="3">
        <v>12</v>
      </c>
      <c r="B8" s="2" t="s">
        <v>5</v>
      </c>
      <c r="C8">
        <v>6683</v>
      </c>
      <c r="E8" t="s">
        <v>13</v>
      </c>
      <c r="G8" s="6">
        <v>12</v>
      </c>
      <c r="H8" s="5" t="s">
        <v>5</v>
      </c>
      <c r="I8">
        <v>6683</v>
      </c>
      <c r="M8" s="6">
        <v>12</v>
      </c>
      <c r="N8" s="5" t="s">
        <v>5</v>
      </c>
      <c r="O8">
        <v>6683</v>
      </c>
    </row>
    <row r="9" spans="1:17">
      <c r="A9" s="3">
        <v>12</v>
      </c>
      <c r="B9" s="2" t="s">
        <v>5</v>
      </c>
      <c r="C9">
        <v>6683</v>
      </c>
      <c r="E9">
        <f>E100+K83+Q79</f>
        <v>412762.79999999976</v>
      </c>
      <c r="G9" s="6">
        <v>12</v>
      </c>
      <c r="H9" s="5" t="s">
        <v>5</v>
      </c>
      <c r="I9">
        <v>6683</v>
      </c>
      <c r="M9" s="6">
        <v>12</v>
      </c>
      <c r="N9" s="5" t="s">
        <v>5</v>
      </c>
      <c r="O9">
        <v>6683</v>
      </c>
    </row>
    <row r="10" spans="1:17">
      <c r="A10" s="3">
        <v>12</v>
      </c>
      <c r="B10" s="2" t="s">
        <v>5</v>
      </c>
      <c r="C10">
        <v>6683</v>
      </c>
      <c r="G10" s="6">
        <v>12</v>
      </c>
      <c r="H10" s="5" t="s">
        <v>5</v>
      </c>
      <c r="I10">
        <v>6683</v>
      </c>
      <c r="M10" s="6">
        <v>8</v>
      </c>
      <c r="N10" s="5" t="s">
        <v>5</v>
      </c>
      <c r="O10">
        <v>5346.4</v>
      </c>
    </row>
    <row r="11" spans="1:17">
      <c r="A11" s="3">
        <v>12</v>
      </c>
      <c r="B11" s="2" t="s">
        <v>5</v>
      </c>
      <c r="C11">
        <v>6683</v>
      </c>
      <c r="E11" t="s">
        <v>14</v>
      </c>
      <c r="G11" s="6">
        <v>8</v>
      </c>
      <c r="H11" s="5" t="s">
        <v>5</v>
      </c>
      <c r="I11">
        <v>5346.4</v>
      </c>
      <c r="M11" s="6">
        <v>8</v>
      </c>
      <c r="N11" s="5" t="s">
        <v>5</v>
      </c>
      <c r="O11">
        <v>5346.4</v>
      </c>
    </row>
    <row r="12" spans="1:17">
      <c r="A12" s="3">
        <v>12</v>
      </c>
      <c r="B12" s="2" t="s">
        <v>5</v>
      </c>
      <c r="C12">
        <v>6683</v>
      </c>
      <c r="E12">
        <f>E6+E9</f>
        <v>701468.39999999967</v>
      </c>
      <c r="G12" s="6">
        <v>8</v>
      </c>
      <c r="H12" s="5" t="s">
        <v>5</v>
      </c>
      <c r="I12">
        <v>5346.4</v>
      </c>
      <c r="M12" s="6">
        <v>8</v>
      </c>
      <c r="N12" s="5" t="s">
        <v>5</v>
      </c>
      <c r="O12">
        <v>5346.4</v>
      </c>
    </row>
    <row r="13" spans="1:17">
      <c r="A13" s="3">
        <v>12</v>
      </c>
      <c r="B13" s="2" t="s">
        <v>5</v>
      </c>
      <c r="C13">
        <v>6683</v>
      </c>
      <c r="G13" s="6">
        <v>8</v>
      </c>
      <c r="H13" s="5" t="s">
        <v>5</v>
      </c>
      <c r="I13">
        <v>5346.4</v>
      </c>
      <c r="M13" s="6">
        <v>8</v>
      </c>
      <c r="N13" s="5" t="s">
        <v>5</v>
      </c>
      <c r="O13">
        <v>5346.4</v>
      </c>
      <c r="Q13" t="s">
        <v>11</v>
      </c>
    </row>
    <row r="14" spans="1:17">
      <c r="A14" s="3">
        <v>8</v>
      </c>
      <c r="B14" s="2" t="s">
        <v>5</v>
      </c>
      <c r="C14">
        <v>5346.4</v>
      </c>
      <c r="G14" s="6">
        <v>8</v>
      </c>
      <c r="H14" s="5" t="s">
        <v>5</v>
      </c>
      <c r="I14">
        <v>5346.4</v>
      </c>
      <c r="M14" s="6">
        <v>8</v>
      </c>
      <c r="N14" s="5" t="s">
        <v>5</v>
      </c>
      <c r="O14">
        <v>5346.4</v>
      </c>
      <c r="Q14">
        <f>SUM(O2:O17)</f>
        <v>90888.799999999974</v>
      </c>
    </row>
    <row r="15" spans="1:17">
      <c r="A15" s="3">
        <v>8</v>
      </c>
      <c r="B15" s="2" t="s">
        <v>5</v>
      </c>
      <c r="C15">
        <v>5346.4</v>
      </c>
      <c r="G15" s="6">
        <v>8</v>
      </c>
      <c r="H15" s="5" t="s">
        <v>5</v>
      </c>
      <c r="I15">
        <v>5346.4</v>
      </c>
      <c r="M15" s="6">
        <v>8</v>
      </c>
      <c r="N15" s="5" t="s">
        <v>5</v>
      </c>
      <c r="O15">
        <v>5346.4</v>
      </c>
    </row>
    <row r="16" spans="1:17">
      <c r="A16" s="3">
        <v>6</v>
      </c>
      <c r="B16" s="2" t="s">
        <v>5</v>
      </c>
      <c r="C16">
        <v>5346.4</v>
      </c>
      <c r="E16" t="s">
        <v>6</v>
      </c>
      <c r="G16" s="6">
        <v>6</v>
      </c>
      <c r="H16" s="5" t="s">
        <v>5</v>
      </c>
      <c r="I16">
        <v>4009.8</v>
      </c>
      <c r="M16" s="6">
        <v>4</v>
      </c>
      <c r="N16" s="5" t="s">
        <v>5</v>
      </c>
      <c r="O16">
        <v>2673.2</v>
      </c>
    </row>
    <row r="17" spans="1:15">
      <c r="A17" s="3">
        <v>4</v>
      </c>
      <c r="B17" s="2" t="s">
        <v>5</v>
      </c>
      <c r="C17">
        <v>5346.4</v>
      </c>
      <c r="E17">
        <f>SUM(C2:C17)</f>
        <v>101581.59999999998</v>
      </c>
      <c r="G17" s="6">
        <v>4</v>
      </c>
      <c r="H17" s="5" t="s">
        <v>5</v>
      </c>
      <c r="I17">
        <v>2673.2</v>
      </c>
      <c r="K17" t="s">
        <v>8</v>
      </c>
      <c r="M17" s="6">
        <v>4</v>
      </c>
      <c r="N17" s="5" t="s">
        <v>5</v>
      </c>
      <c r="O17">
        <v>2673.2</v>
      </c>
    </row>
    <row r="18" spans="1:15">
      <c r="A18" s="3">
        <v>12</v>
      </c>
      <c r="B18" s="2" t="s">
        <v>4</v>
      </c>
      <c r="C18">
        <v>2523</v>
      </c>
      <c r="G18" s="6">
        <v>4</v>
      </c>
      <c r="H18" s="5" t="s">
        <v>5</v>
      </c>
      <c r="I18">
        <v>2673.2</v>
      </c>
      <c r="K18">
        <f>SUM(I2:I18)</f>
        <v>96235.199999999983</v>
      </c>
      <c r="M18" s="6">
        <v>16</v>
      </c>
      <c r="N18" s="5" t="s">
        <v>4</v>
      </c>
      <c r="O18">
        <v>2523</v>
      </c>
    </row>
    <row r="19" spans="1:15">
      <c r="A19" s="3">
        <v>12</v>
      </c>
      <c r="B19" s="2" t="s">
        <v>4</v>
      </c>
      <c r="C19">
        <v>2523</v>
      </c>
      <c r="G19" s="6">
        <v>16</v>
      </c>
      <c r="H19" s="5" t="s">
        <v>4</v>
      </c>
      <c r="I19">
        <v>2523</v>
      </c>
      <c r="M19" s="6">
        <v>12</v>
      </c>
      <c r="N19" s="5" t="s">
        <v>4</v>
      </c>
      <c r="O19">
        <v>2523</v>
      </c>
    </row>
    <row r="20" spans="1:15">
      <c r="A20" s="3">
        <v>12</v>
      </c>
      <c r="B20" s="2" t="s">
        <v>4</v>
      </c>
      <c r="C20">
        <v>2523</v>
      </c>
      <c r="G20" s="6">
        <v>16</v>
      </c>
      <c r="H20" s="5" t="s">
        <v>4</v>
      </c>
      <c r="I20">
        <v>2523</v>
      </c>
      <c r="M20" s="6">
        <v>12</v>
      </c>
      <c r="N20" s="5" t="s">
        <v>4</v>
      </c>
      <c r="O20">
        <v>2523</v>
      </c>
    </row>
    <row r="21" spans="1:15">
      <c r="A21" s="3">
        <v>12</v>
      </c>
      <c r="B21" s="2" t="s">
        <v>4</v>
      </c>
      <c r="C21">
        <v>2523</v>
      </c>
      <c r="G21" s="6">
        <v>15</v>
      </c>
      <c r="H21" s="5" t="s">
        <v>4</v>
      </c>
      <c r="I21">
        <v>2523</v>
      </c>
      <c r="M21" s="6">
        <v>12</v>
      </c>
      <c r="N21" s="5" t="s">
        <v>4</v>
      </c>
      <c r="O21">
        <v>2523</v>
      </c>
    </row>
    <row r="22" spans="1:15">
      <c r="A22" s="3">
        <v>12</v>
      </c>
      <c r="B22" s="2" t="s">
        <v>4</v>
      </c>
      <c r="C22">
        <v>2523</v>
      </c>
      <c r="G22" s="6">
        <v>12</v>
      </c>
      <c r="H22" s="5" t="s">
        <v>4</v>
      </c>
      <c r="I22">
        <v>2523</v>
      </c>
      <c r="M22" s="6">
        <v>12</v>
      </c>
      <c r="N22" s="5" t="s">
        <v>4</v>
      </c>
      <c r="O22">
        <v>2523</v>
      </c>
    </row>
    <row r="23" spans="1:15">
      <c r="A23" s="3">
        <v>12</v>
      </c>
      <c r="B23" s="2" t="s">
        <v>4</v>
      </c>
      <c r="C23">
        <v>2523</v>
      </c>
      <c r="G23" s="6">
        <v>12</v>
      </c>
      <c r="H23" s="5" t="s">
        <v>4</v>
      </c>
      <c r="I23">
        <v>2523</v>
      </c>
      <c r="M23" s="6">
        <v>12</v>
      </c>
      <c r="N23" s="5" t="s">
        <v>4</v>
      </c>
      <c r="O23">
        <v>2523</v>
      </c>
    </row>
    <row r="24" spans="1:15">
      <c r="A24" s="3">
        <v>12</v>
      </c>
      <c r="B24" s="2" t="s">
        <v>4</v>
      </c>
      <c r="C24">
        <v>2523</v>
      </c>
      <c r="G24" s="6">
        <v>12</v>
      </c>
      <c r="H24" s="5" t="s">
        <v>4</v>
      </c>
      <c r="I24">
        <v>2523</v>
      </c>
      <c r="M24" s="6">
        <v>12</v>
      </c>
      <c r="N24" s="5" t="s">
        <v>4</v>
      </c>
      <c r="O24">
        <v>2523</v>
      </c>
    </row>
    <row r="25" spans="1:15">
      <c r="A25" s="3">
        <v>12</v>
      </c>
      <c r="B25" s="2" t="s">
        <v>4</v>
      </c>
      <c r="C25">
        <v>2523</v>
      </c>
      <c r="G25" s="6">
        <v>12</v>
      </c>
      <c r="H25" s="5" t="s">
        <v>4</v>
      </c>
      <c r="I25">
        <v>2523</v>
      </c>
      <c r="M25" s="6">
        <v>12</v>
      </c>
      <c r="N25" s="5" t="s">
        <v>4</v>
      </c>
      <c r="O25">
        <v>2523</v>
      </c>
    </row>
    <row r="26" spans="1:15">
      <c r="A26" s="3">
        <v>12</v>
      </c>
      <c r="B26" s="2" t="s">
        <v>4</v>
      </c>
      <c r="C26">
        <v>2523</v>
      </c>
      <c r="G26" s="6">
        <v>12</v>
      </c>
      <c r="H26" s="5" t="s">
        <v>4</v>
      </c>
      <c r="I26">
        <v>2523</v>
      </c>
      <c r="M26" s="6">
        <v>12</v>
      </c>
      <c r="N26" s="5" t="s">
        <v>4</v>
      </c>
      <c r="O26">
        <v>2523</v>
      </c>
    </row>
    <row r="27" spans="1:15">
      <c r="A27" s="3">
        <v>12</v>
      </c>
      <c r="B27" s="2" t="s">
        <v>4</v>
      </c>
      <c r="C27">
        <v>2523</v>
      </c>
      <c r="G27" s="6">
        <v>12</v>
      </c>
      <c r="H27" s="5" t="s">
        <v>4</v>
      </c>
      <c r="I27">
        <v>2523</v>
      </c>
      <c r="M27" s="6">
        <v>12</v>
      </c>
      <c r="N27" s="5" t="s">
        <v>4</v>
      </c>
      <c r="O27">
        <v>2523</v>
      </c>
    </row>
    <row r="28" spans="1:15">
      <c r="A28" s="3">
        <v>12</v>
      </c>
      <c r="B28" s="2" t="s">
        <v>4</v>
      </c>
      <c r="C28">
        <v>2523</v>
      </c>
      <c r="G28" s="6">
        <v>12</v>
      </c>
      <c r="H28" s="5" t="s">
        <v>4</v>
      </c>
      <c r="I28">
        <v>2523</v>
      </c>
      <c r="M28" s="6">
        <v>12</v>
      </c>
      <c r="N28" s="5" t="s">
        <v>4</v>
      </c>
      <c r="O28">
        <v>2523</v>
      </c>
    </row>
    <row r="29" spans="1:15">
      <c r="A29" s="3">
        <v>12</v>
      </c>
      <c r="B29" s="2" t="s">
        <v>4</v>
      </c>
      <c r="C29">
        <v>2523</v>
      </c>
      <c r="G29" s="6">
        <v>12</v>
      </c>
      <c r="H29" s="5" t="s">
        <v>4</v>
      </c>
      <c r="I29">
        <v>2523</v>
      </c>
      <c r="M29" s="6">
        <v>12</v>
      </c>
      <c r="N29" s="5" t="s">
        <v>4</v>
      </c>
      <c r="O29">
        <v>2523</v>
      </c>
    </row>
    <row r="30" spans="1:15">
      <c r="A30" s="3">
        <v>12</v>
      </c>
      <c r="B30" s="2" t="s">
        <v>4</v>
      </c>
      <c r="C30">
        <v>2523</v>
      </c>
      <c r="G30" s="6">
        <v>12</v>
      </c>
      <c r="H30" s="5" t="s">
        <v>4</v>
      </c>
      <c r="I30">
        <v>2523</v>
      </c>
      <c r="M30" s="6">
        <v>12</v>
      </c>
      <c r="N30" s="5" t="s">
        <v>4</v>
      </c>
      <c r="O30">
        <v>2523</v>
      </c>
    </row>
    <row r="31" spans="1:15">
      <c r="A31" s="3">
        <v>12</v>
      </c>
      <c r="B31" s="2" t="s">
        <v>4</v>
      </c>
      <c r="C31">
        <v>2523</v>
      </c>
      <c r="G31" s="6">
        <v>12</v>
      </c>
      <c r="H31" s="5" t="s">
        <v>4</v>
      </c>
      <c r="I31">
        <v>2523</v>
      </c>
      <c r="M31" s="6">
        <v>12</v>
      </c>
      <c r="N31" s="5" t="s">
        <v>4</v>
      </c>
      <c r="O31">
        <v>2523</v>
      </c>
    </row>
    <row r="32" spans="1:15">
      <c r="A32" s="3">
        <v>12</v>
      </c>
      <c r="B32" s="2" t="s">
        <v>4</v>
      </c>
      <c r="C32">
        <v>2523</v>
      </c>
      <c r="G32" s="6">
        <v>12</v>
      </c>
      <c r="H32" s="5" t="s">
        <v>4</v>
      </c>
      <c r="I32">
        <v>2523</v>
      </c>
      <c r="M32" s="6">
        <v>12</v>
      </c>
      <c r="N32" s="5" t="s">
        <v>4</v>
      </c>
      <c r="O32">
        <v>2523</v>
      </c>
    </row>
    <row r="33" spans="1:15">
      <c r="A33" s="3">
        <v>12</v>
      </c>
      <c r="B33" s="2" t="s">
        <v>4</v>
      </c>
      <c r="C33">
        <v>2523</v>
      </c>
      <c r="G33" s="6">
        <v>12</v>
      </c>
      <c r="H33" s="5" t="s">
        <v>4</v>
      </c>
      <c r="I33">
        <v>2523</v>
      </c>
      <c r="M33" s="6">
        <v>12</v>
      </c>
      <c r="N33" s="5" t="s">
        <v>4</v>
      </c>
      <c r="O33">
        <v>2523</v>
      </c>
    </row>
    <row r="34" spans="1:15">
      <c r="A34" s="3">
        <v>12</v>
      </c>
      <c r="B34" s="2" t="s">
        <v>4</v>
      </c>
      <c r="C34">
        <v>2523</v>
      </c>
      <c r="G34" s="6">
        <v>12</v>
      </c>
      <c r="H34" s="5" t="s">
        <v>4</v>
      </c>
      <c r="I34">
        <v>2523</v>
      </c>
      <c r="M34" s="6">
        <v>12</v>
      </c>
      <c r="N34" s="5" t="s">
        <v>4</v>
      </c>
      <c r="O34">
        <v>2523</v>
      </c>
    </row>
    <row r="35" spans="1:15">
      <c r="A35" s="3">
        <v>12</v>
      </c>
      <c r="B35" s="2" t="s">
        <v>4</v>
      </c>
      <c r="C35">
        <v>2523</v>
      </c>
      <c r="G35" s="6">
        <v>12</v>
      </c>
      <c r="H35" s="5" t="s">
        <v>4</v>
      </c>
      <c r="I35">
        <v>2523</v>
      </c>
      <c r="M35" s="6">
        <v>12</v>
      </c>
      <c r="N35" s="5" t="s">
        <v>4</v>
      </c>
      <c r="O35">
        <v>2523</v>
      </c>
    </row>
    <row r="36" spans="1:15">
      <c r="A36" s="3">
        <v>12</v>
      </c>
      <c r="B36" s="2" t="s">
        <v>4</v>
      </c>
      <c r="C36">
        <v>2523</v>
      </c>
      <c r="G36" s="6">
        <v>12</v>
      </c>
      <c r="H36" s="5" t="s">
        <v>4</v>
      </c>
      <c r="I36">
        <v>2523</v>
      </c>
      <c r="M36" s="6">
        <v>12</v>
      </c>
      <c r="N36" s="5" t="s">
        <v>4</v>
      </c>
      <c r="O36">
        <v>2523</v>
      </c>
    </row>
    <row r="37" spans="1:15">
      <c r="A37" s="3">
        <v>12</v>
      </c>
      <c r="B37" s="2" t="s">
        <v>4</v>
      </c>
      <c r="C37">
        <v>2523</v>
      </c>
      <c r="G37" s="6">
        <v>12</v>
      </c>
      <c r="H37" s="5" t="s">
        <v>4</v>
      </c>
      <c r="I37">
        <v>2523</v>
      </c>
      <c r="M37" s="6">
        <v>12</v>
      </c>
      <c r="N37" s="5" t="s">
        <v>4</v>
      </c>
      <c r="O37">
        <v>2523</v>
      </c>
    </row>
    <row r="38" spans="1:15">
      <c r="A38" s="3">
        <v>12</v>
      </c>
      <c r="B38" s="2" t="s">
        <v>4</v>
      </c>
      <c r="C38">
        <v>2523</v>
      </c>
      <c r="G38" s="6">
        <v>12</v>
      </c>
      <c r="H38" s="5" t="s">
        <v>4</v>
      </c>
      <c r="I38">
        <v>2523</v>
      </c>
      <c r="M38" s="6">
        <v>12</v>
      </c>
      <c r="N38" s="5" t="s">
        <v>4</v>
      </c>
      <c r="O38">
        <v>2523</v>
      </c>
    </row>
    <row r="39" spans="1:15">
      <c r="A39" s="3">
        <v>12</v>
      </c>
      <c r="B39" s="2" t="s">
        <v>4</v>
      </c>
      <c r="C39">
        <v>2523</v>
      </c>
      <c r="G39" s="6">
        <v>12</v>
      </c>
      <c r="H39" s="5" t="s">
        <v>4</v>
      </c>
      <c r="I39">
        <v>2523</v>
      </c>
      <c r="M39" s="6">
        <v>12</v>
      </c>
      <c r="N39" s="5" t="s">
        <v>4</v>
      </c>
      <c r="O39">
        <v>2523</v>
      </c>
    </row>
    <row r="40" spans="1:15">
      <c r="A40" s="3">
        <v>12</v>
      </c>
      <c r="B40" s="2" t="s">
        <v>4</v>
      </c>
      <c r="C40">
        <v>2523</v>
      </c>
      <c r="G40" s="6">
        <v>12</v>
      </c>
      <c r="H40" s="5" t="s">
        <v>4</v>
      </c>
      <c r="I40">
        <v>2523</v>
      </c>
      <c r="M40" s="6">
        <v>12</v>
      </c>
      <c r="N40" s="5" t="s">
        <v>4</v>
      </c>
      <c r="O40">
        <v>2523</v>
      </c>
    </row>
    <row r="41" spans="1:15">
      <c r="A41" s="3">
        <v>12</v>
      </c>
      <c r="B41" s="2" t="s">
        <v>4</v>
      </c>
      <c r="C41">
        <v>2523</v>
      </c>
      <c r="G41" s="6">
        <v>12</v>
      </c>
      <c r="H41" s="5" t="s">
        <v>4</v>
      </c>
      <c r="I41">
        <v>2523</v>
      </c>
      <c r="M41" s="6">
        <v>12</v>
      </c>
      <c r="N41" s="5" t="s">
        <v>4</v>
      </c>
      <c r="O41">
        <v>2523</v>
      </c>
    </row>
    <row r="42" spans="1:15">
      <c r="A42" s="3">
        <v>12</v>
      </c>
      <c r="B42" s="2" t="s">
        <v>4</v>
      </c>
      <c r="C42">
        <v>2523</v>
      </c>
      <c r="G42" s="6">
        <v>12</v>
      </c>
      <c r="H42" s="5" t="s">
        <v>4</v>
      </c>
      <c r="I42">
        <v>2523</v>
      </c>
      <c r="M42" s="6">
        <v>10</v>
      </c>
      <c r="N42" s="5" t="s">
        <v>4</v>
      </c>
      <c r="O42">
        <v>2523</v>
      </c>
    </row>
    <row r="43" spans="1:15">
      <c r="A43" s="3">
        <v>12</v>
      </c>
      <c r="B43" s="2" t="s">
        <v>4</v>
      </c>
      <c r="C43">
        <v>2523</v>
      </c>
      <c r="G43" s="6">
        <v>10</v>
      </c>
      <c r="H43" s="5" t="s">
        <v>4</v>
      </c>
      <c r="I43">
        <v>2523</v>
      </c>
      <c r="M43" s="6">
        <v>10</v>
      </c>
      <c r="N43" s="5" t="s">
        <v>4</v>
      </c>
      <c r="O43">
        <v>2523</v>
      </c>
    </row>
    <row r="44" spans="1:15">
      <c r="A44" s="3">
        <v>12</v>
      </c>
      <c r="B44" s="2" t="s">
        <v>4</v>
      </c>
      <c r="C44">
        <v>2523</v>
      </c>
      <c r="G44" s="6">
        <v>10</v>
      </c>
      <c r="H44" s="5" t="s">
        <v>4</v>
      </c>
      <c r="I44">
        <v>2523</v>
      </c>
      <c r="M44" s="6">
        <v>10</v>
      </c>
      <c r="N44" s="5" t="s">
        <v>4</v>
      </c>
      <c r="O44">
        <v>2523</v>
      </c>
    </row>
    <row r="45" spans="1:15">
      <c r="A45" s="3">
        <v>12</v>
      </c>
      <c r="B45" s="2" t="s">
        <v>4</v>
      </c>
      <c r="C45">
        <v>2523</v>
      </c>
      <c r="G45" s="6">
        <v>8</v>
      </c>
      <c r="H45" s="5" t="s">
        <v>4</v>
      </c>
      <c r="I45">
        <v>2018.4</v>
      </c>
      <c r="M45" s="6">
        <v>8</v>
      </c>
      <c r="N45" s="5" t="s">
        <v>4</v>
      </c>
      <c r="O45">
        <v>2018.4</v>
      </c>
    </row>
    <row r="46" spans="1:15">
      <c r="A46" s="3">
        <v>12</v>
      </c>
      <c r="B46" s="2" t="s">
        <v>4</v>
      </c>
      <c r="C46">
        <v>2523</v>
      </c>
      <c r="G46" s="6">
        <v>8</v>
      </c>
      <c r="H46" s="5" t="s">
        <v>4</v>
      </c>
      <c r="I46">
        <v>2018.4</v>
      </c>
      <c r="M46" s="6">
        <v>8</v>
      </c>
      <c r="N46" s="5" t="s">
        <v>4</v>
      </c>
      <c r="O46">
        <v>2018.4</v>
      </c>
    </row>
    <row r="47" spans="1:15">
      <c r="A47" s="3">
        <v>12</v>
      </c>
      <c r="B47" s="2" t="s">
        <v>4</v>
      </c>
      <c r="C47">
        <v>2523</v>
      </c>
      <c r="G47" s="6">
        <v>8</v>
      </c>
      <c r="H47" s="5" t="s">
        <v>4</v>
      </c>
      <c r="I47">
        <v>2018.4</v>
      </c>
      <c r="M47" s="6">
        <v>8</v>
      </c>
      <c r="N47" s="5" t="s">
        <v>4</v>
      </c>
      <c r="O47">
        <v>2018.4</v>
      </c>
    </row>
    <row r="48" spans="1:15">
      <c r="A48" s="3">
        <v>12</v>
      </c>
      <c r="B48" s="2" t="s">
        <v>4</v>
      </c>
      <c r="C48">
        <v>2523</v>
      </c>
      <c r="G48" s="6">
        <v>8</v>
      </c>
      <c r="H48" s="5" t="s">
        <v>4</v>
      </c>
      <c r="I48">
        <v>2018.4</v>
      </c>
      <c r="M48" s="6">
        <v>8</v>
      </c>
      <c r="N48" s="5" t="s">
        <v>4</v>
      </c>
      <c r="O48">
        <v>2018.4</v>
      </c>
    </row>
    <row r="49" spans="1:15">
      <c r="A49" s="3">
        <v>12</v>
      </c>
      <c r="B49" s="2" t="s">
        <v>4</v>
      </c>
      <c r="C49">
        <v>2523</v>
      </c>
      <c r="G49" s="6">
        <v>8</v>
      </c>
      <c r="H49" s="5" t="s">
        <v>4</v>
      </c>
      <c r="I49">
        <v>2018.4</v>
      </c>
      <c r="M49" s="6">
        <v>8</v>
      </c>
      <c r="N49" s="5" t="s">
        <v>4</v>
      </c>
      <c r="O49">
        <v>2018.4</v>
      </c>
    </row>
    <row r="50" spans="1:15">
      <c r="A50" s="3">
        <v>12</v>
      </c>
      <c r="B50" s="2" t="s">
        <v>4</v>
      </c>
      <c r="C50">
        <v>2523</v>
      </c>
      <c r="G50" s="6">
        <v>8</v>
      </c>
      <c r="H50" s="5" t="s">
        <v>4</v>
      </c>
      <c r="I50">
        <v>2018.4</v>
      </c>
      <c r="M50" s="6">
        <v>8</v>
      </c>
      <c r="N50" s="5" t="s">
        <v>4</v>
      </c>
      <c r="O50">
        <v>2018.4</v>
      </c>
    </row>
    <row r="51" spans="1:15">
      <c r="A51" s="3">
        <v>10</v>
      </c>
      <c r="B51" s="2" t="s">
        <v>4</v>
      </c>
      <c r="C51">
        <v>2523</v>
      </c>
      <c r="G51" s="6">
        <v>8</v>
      </c>
      <c r="H51" s="5" t="s">
        <v>4</v>
      </c>
      <c r="I51">
        <v>2018.4</v>
      </c>
      <c r="M51" s="6">
        <v>8</v>
      </c>
      <c r="N51" s="5" t="s">
        <v>4</v>
      </c>
      <c r="O51">
        <v>2018.4</v>
      </c>
    </row>
    <row r="52" spans="1:15">
      <c r="A52" s="3">
        <v>8</v>
      </c>
      <c r="B52" s="2" t="s">
        <v>4</v>
      </c>
      <c r="C52">
        <v>2018.4</v>
      </c>
      <c r="G52" s="6">
        <v>8</v>
      </c>
      <c r="H52" s="5" t="s">
        <v>4</v>
      </c>
      <c r="I52">
        <v>2018.4</v>
      </c>
      <c r="M52" s="6">
        <v>8</v>
      </c>
      <c r="N52" s="5" t="s">
        <v>4</v>
      </c>
      <c r="O52">
        <v>2018.4</v>
      </c>
    </row>
    <row r="53" spans="1:15">
      <c r="A53" s="3">
        <v>8</v>
      </c>
      <c r="B53" s="2" t="s">
        <v>4</v>
      </c>
      <c r="C53">
        <v>2018.4</v>
      </c>
      <c r="G53" s="6">
        <v>8</v>
      </c>
      <c r="H53" s="5" t="s">
        <v>4</v>
      </c>
      <c r="I53">
        <v>2018.4</v>
      </c>
      <c r="M53" s="6">
        <v>8</v>
      </c>
      <c r="N53" s="5" t="s">
        <v>4</v>
      </c>
      <c r="O53">
        <v>2018.4</v>
      </c>
    </row>
    <row r="54" spans="1:15">
      <c r="A54" s="3">
        <v>8</v>
      </c>
      <c r="B54" s="2" t="s">
        <v>4</v>
      </c>
      <c r="C54">
        <v>2018.4</v>
      </c>
      <c r="G54" s="6">
        <v>8</v>
      </c>
      <c r="H54" s="5" t="s">
        <v>4</v>
      </c>
      <c r="I54">
        <v>2018.4</v>
      </c>
      <c r="M54" s="6">
        <v>8</v>
      </c>
      <c r="N54" s="5" t="s">
        <v>4</v>
      </c>
      <c r="O54">
        <v>2018.4</v>
      </c>
    </row>
    <row r="55" spans="1:15">
      <c r="A55" s="3">
        <v>8</v>
      </c>
      <c r="B55" s="2" t="s">
        <v>4</v>
      </c>
      <c r="C55">
        <v>2018.4</v>
      </c>
      <c r="G55" s="6">
        <v>8</v>
      </c>
      <c r="H55" s="5" t="s">
        <v>4</v>
      </c>
      <c r="I55">
        <v>2018.4</v>
      </c>
      <c r="M55" s="6">
        <v>8</v>
      </c>
      <c r="N55" s="5" t="s">
        <v>4</v>
      </c>
      <c r="O55">
        <v>2018.4</v>
      </c>
    </row>
    <row r="56" spans="1:15">
      <c r="A56" s="3">
        <v>8</v>
      </c>
      <c r="B56" s="2" t="s">
        <v>4</v>
      </c>
      <c r="C56">
        <v>2018.4</v>
      </c>
      <c r="G56" s="6">
        <v>8</v>
      </c>
      <c r="H56" s="5" t="s">
        <v>4</v>
      </c>
      <c r="I56">
        <v>2018.4</v>
      </c>
      <c r="M56" s="6">
        <v>8</v>
      </c>
      <c r="N56" s="5" t="s">
        <v>4</v>
      </c>
      <c r="O56">
        <v>2018.4</v>
      </c>
    </row>
    <row r="57" spans="1:15">
      <c r="A57" s="3">
        <v>8</v>
      </c>
      <c r="B57" s="2" t="s">
        <v>4</v>
      </c>
      <c r="C57">
        <v>2018.4</v>
      </c>
      <c r="G57" s="6">
        <v>8</v>
      </c>
      <c r="H57" s="5" t="s">
        <v>4</v>
      </c>
      <c r="I57">
        <v>2018.4</v>
      </c>
      <c r="M57" s="6">
        <v>8</v>
      </c>
      <c r="N57" s="5" t="s">
        <v>4</v>
      </c>
      <c r="O57">
        <v>2018.4</v>
      </c>
    </row>
    <row r="58" spans="1:15">
      <c r="A58" s="3">
        <v>8</v>
      </c>
      <c r="B58" s="2" t="s">
        <v>4</v>
      </c>
      <c r="C58">
        <v>2018.4</v>
      </c>
      <c r="G58" s="6">
        <v>8</v>
      </c>
      <c r="H58" s="5" t="s">
        <v>4</v>
      </c>
      <c r="I58">
        <v>2018.4</v>
      </c>
      <c r="M58" s="6">
        <v>8</v>
      </c>
      <c r="N58" s="5" t="s">
        <v>4</v>
      </c>
      <c r="O58">
        <v>2018.4</v>
      </c>
    </row>
    <row r="59" spans="1:15">
      <c r="A59" s="3">
        <v>8</v>
      </c>
      <c r="B59" s="2" t="s">
        <v>4</v>
      </c>
      <c r="C59">
        <v>2018.4</v>
      </c>
      <c r="G59" s="6">
        <v>8</v>
      </c>
      <c r="H59" s="5" t="s">
        <v>4</v>
      </c>
      <c r="I59">
        <v>2018.4</v>
      </c>
      <c r="M59" s="6">
        <v>8</v>
      </c>
      <c r="N59" s="5" t="s">
        <v>4</v>
      </c>
      <c r="O59">
        <v>2018.4</v>
      </c>
    </row>
    <row r="60" spans="1:15">
      <c r="A60" s="3">
        <v>8</v>
      </c>
      <c r="B60" s="2" t="s">
        <v>4</v>
      </c>
      <c r="C60">
        <v>2018.4</v>
      </c>
      <c r="G60" s="6">
        <v>8</v>
      </c>
      <c r="H60" s="5" t="s">
        <v>4</v>
      </c>
      <c r="I60">
        <v>2018.4</v>
      </c>
      <c r="M60" s="6">
        <v>8</v>
      </c>
      <c r="N60" s="5" t="s">
        <v>4</v>
      </c>
      <c r="O60">
        <v>2018.4</v>
      </c>
    </row>
    <row r="61" spans="1:15">
      <c r="A61" s="3">
        <v>8</v>
      </c>
      <c r="B61" s="2" t="s">
        <v>4</v>
      </c>
      <c r="C61">
        <v>2018.4</v>
      </c>
      <c r="G61" s="6">
        <v>8</v>
      </c>
      <c r="H61" s="5" t="s">
        <v>4</v>
      </c>
      <c r="I61">
        <v>2018.4</v>
      </c>
      <c r="M61" s="6">
        <v>8</v>
      </c>
      <c r="N61" s="5" t="s">
        <v>4</v>
      </c>
      <c r="O61">
        <v>2018.4</v>
      </c>
    </row>
    <row r="62" spans="1:15">
      <c r="A62" s="3">
        <v>8</v>
      </c>
      <c r="B62" s="2" t="s">
        <v>4</v>
      </c>
      <c r="C62">
        <v>2018.4</v>
      </c>
      <c r="G62" s="6">
        <v>8</v>
      </c>
      <c r="H62" s="5" t="s">
        <v>4</v>
      </c>
      <c r="I62">
        <v>2018.4</v>
      </c>
      <c r="M62" s="6">
        <v>8</v>
      </c>
      <c r="N62" s="5" t="s">
        <v>4</v>
      </c>
      <c r="O62">
        <v>2018.4</v>
      </c>
    </row>
    <row r="63" spans="1:15">
      <c r="A63" s="3">
        <v>8</v>
      </c>
      <c r="B63" s="2" t="s">
        <v>4</v>
      </c>
      <c r="C63">
        <v>2018.4</v>
      </c>
      <c r="G63" s="6">
        <v>8</v>
      </c>
      <c r="H63" s="5" t="s">
        <v>4</v>
      </c>
      <c r="I63">
        <v>2018.4</v>
      </c>
      <c r="M63" s="6">
        <v>8</v>
      </c>
      <c r="N63" s="5" t="s">
        <v>4</v>
      </c>
      <c r="O63">
        <v>2018.4</v>
      </c>
    </row>
    <row r="64" spans="1:15">
      <c r="A64" s="3">
        <v>8</v>
      </c>
      <c r="B64" s="2" t="s">
        <v>4</v>
      </c>
      <c r="C64">
        <v>2018.4</v>
      </c>
      <c r="G64" s="6">
        <v>8</v>
      </c>
      <c r="H64" s="5" t="s">
        <v>4</v>
      </c>
      <c r="I64">
        <v>2018.4</v>
      </c>
      <c r="M64" s="6">
        <v>8</v>
      </c>
      <c r="N64" s="5" t="s">
        <v>4</v>
      </c>
      <c r="O64">
        <v>2018.4</v>
      </c>
    </row>
    <row r="65" spans="1:17">
      <c r="A65" s="3">
        <v>8</v>
      </c>
      <c r="B65" s="2" t="s">
        <v>4</v>
      </c>
      <c r="C65">
        <v>2018.4</v>
      </c>
      <c r="G65" s="6">
        <v>8</v>
      </c>
      <c r="H65" s="5" t="s">
        <v>4</v>
      </c>
      <c r="I65">
        <v>2018.4</v>
      </c>
      <c r="M65" s="6">
        <v>8</v>
      </c>
      <c r="N65" s="5" t="s">
        <v>4</v>
      </c>
      <c r="O65">
        <v>2018.4</v>
      </c>
    </row>
    <row r="66" spans="1:17">
      <c r="A66" s="3">
        <v>8</v>
      </c>
      <c r="B66" s="2" t="s">
        <v>4</v>
      </c>
      <c r="C66">
        <v>2018.4</v>
      </c>
      <c r="G66" s="6">
        <v>8</v>
      </c>
      <c r="H66" s="5" t="s">
        <v>4</v>
      </c>
      <c r="I66">
        <v>2018.4</v>
      </c>
      <c r="M66" s="6">
        <v>6</v>
      </c>
      <c r="N66" s="5" t="s">
        <v>4</v>
      </c>
      <c r="O66">
        <v>1513.8</v>
      </c>
    </row>
    <row r="67" spans="1:17">
      <c r="A67" s="3">
        <v>8</v>
      </c>
      <c r="B67" s="2" t="s">
        <v>4</v>
      </c>
      <c r="C67">
        <v>2018.4</v>
      </c>
      <c r="G67" s="6">
        <v>8</v>
      </c>
      <c r="H67" s="5" t="s">
        <v>4</v>
      </c>
      <c r="I67">
        <v>2018.4</v>
      </c>
      <c r="M67" s="6">
        <v>6</v>
      </c>
      <c r="N67" s="5" t="s">
        <v>4</v>
      </c>
      <c r="O67">
        <v>1513.8</v>
      </c>
    </row>
    <row r="68" spans="1:17">
      <c r="A68" s="3">
        <v>8</v>
      </c>
      <c r="B68" s="2" t="s">
        <v>4</v>
      </c>
      <c r="C68">
        <v>2018.4</v>
      </c>
      <c r="G68" s="6">
        <v>8</v>
      </c>
      <c r="H68" s="5" t="s">
        <v>4</v>
      </c>
      <c r="I68">
        <v>2018.4</v>
      </c>
      <c r="M68" s="6">
        <v>6</v>
      </c>
      <c r="N68" s="5" t="s">
        <v>4</v>
      </c>
      <c r="O68">
        <v>1513.8</v>
      </c>
    </row>
    <row r="69" spans="1:17">
      <c r="A69" s="3">
        <v>8</v>
      </c>
      <c r="B69" s="2" t="s">
        <v>4</v>
      </c>
      <c r="C69">
        <v>2018.4</v>
      </c>
      <c r="G69" s="6">
        <v>8</v>
      </c>
      <c r="H69" s="5" t="s">
        <v>4</v>
      </c>
      <c r="I69">
        <v>2018.4</v>
      </c>
      <c r="M69" s="6">
        <v>6</v>
      </c>
      <c r="N69" s="5" t="s">
        <v>4</v>
      </c>
      <c r="O69">
        <v>1513.8</v>
      </c>
    </row>
    <row r="70" spans="1:17">
      <c r="A70" s="3">
        <v>8</v>
      </c>
      <c r="B70" s="2" t="s">
        <v>4</v>
      </c>
      <c r="C70">
        <v>2018.4</v>
      </c>
      <c r="G70" s="6">
        <v>6</v>
      </c>
      <c r="H70" s="5" t="s">
        <v>4</v>
      </c>
      <c r="I70">
        <v>1513.8</v>
      </c>
      <c r="M70" s="6">
        <v>6</v>
      </c>
      <c r="N70" s="5" t="s">
        <v>4</v>
      </c>
      <c r="O70">
        <v>1513.8</v>
      </c>
    </row>
    <row r="71" spans="1:17">
      <c r="A71" s="3">
        <v>8</v>
      </c>
      <c r="B71" s="2" t="s">
        <v>4</v>
      </c>
      <c r="C71">
        <v>2018.4</v>
      </c>
      <c r="G71" s="6">
        <v>6</v>
      </c>
      <c r="H71" s="5" t="s">
        <v>4</v>
      </c>
      <c r="I71">
        <v>1513.8</v>
      </c>
      <c r="M71" s="6">
        <v>4</v>
      </c>
      <c r="N71" s="5" t="s">
        <v>4</v>
      </c>
      <c r="O71">
        <v>1009.2</v>
      </c>
    </row>
    <row r="72" spans="1:17">
      <c r="A72" s="3">
        <v>8</v>
      </c>
      <c r="B72" s="2" t="s">
        <v>4</v>
      </c>
      <c r="C72">
        <v>2018.4</v>
      </c>
      <c r="G72" s="6">
        <v>6</v>
      </c>
      <c r="H72" s="5" t="s">
        <v>4</v>
      </c>
      <c r="I72">
        <v>1513.8</v>
      </c>
      <c r="M72" s="6">
        <v>4</v>
      </c>
      <c r="N72" s="5" t="s">
        <v>4</v>
      </c>
      <c r="O72">
        <v>1009.2</v>
      </c>
    </row>
    <row r="73" spans="1:17">
      <c r="A73" s="3">
        <v>8</v>
      </c>
      <c r="B73" s="2" t="s">
        <v>4</v>
      </c>
      <c r="C73">
        <v>2018.4</v>
      </c>
      <c r="G73" s="6">
        <v>6</v>
      </c>
      <c r="H73" s="5" t="s">
        <v>4</v>
      </c>
      <c r="I73">
        <v>1513.8</v>
      </c>
      <c r="M73" s="6">
        <v>4</v>
      </c>
      <c r="N73" s="5" t="s">
        <v>4</v>
      </c>
      <c r="O73">
        <v>1009.2</v>
      </c>
    </row>
    <row r="74" spans="1:17">
      <c r="A74" s="3">
        <v>8</v>
      </c>
      <c r="B74" s="2" t="s">
        <v>4</v>
      </c>
      <c r="C74">
        <v>2018.4</v>
      </c>
      <c r="G74" s="6">
        <v>6</v>
      </c>
      <c r="H74" s="5" t="s">
        <v>4</v>
      </c>
      <c r="I74">
        <v>1513.8</v>
      </c>
      <c r="M74" s="6">
        <v>4</v>
      </c>
      <c r="N74" s="5" t="s">
        <v>4</v>
      </c>
      <c r="O74">
        <v>1009.2</v>
      </c>
    </row>
    <row r="75" spans="1:17">
      <c r="A75" s="3">
        <v>6</v>
      </c>
      <c r="B75" s="2" t="s">
        <v>4</v>
      </c>
      <c r="C75">
        <v>1513.8</v>
      </c>
      <c r="G75" s="6">
        <v>4</v>
      </c>
      <c r="H75" s="5" t="s">
        <v>4</v>
      </c>
      <c r="I75">
        <v>1009.2</v>
      </c>
      <c r="M75" s="6">
        <v>4</v>
      </c>
      <c r="N75" s="5" t="s">
        <v>4</v>
      </c>
      <c r="O75">
        <v>1009.2</v>
      </c>
    </row>
    <row r="76" spans="1:17">
      <c r="A76" s="3">
        <v>6</v>
      </c>
      <c r="B76" s="2" t="s">
        <v>4</v>
      </c>
      <c r="C76">
        <v>1513.8</v>
      </c>
      <c r="G76" s="6">
        <v>4</v>
      </c>
      <c r="H76" s="5" t="s">
        <v>4</v>
      </c>
      <c r="I76">
        <v>1009.2</v>
      </c>
      <c r="M76" s="6">
        <v>4</v>
      </c>
      <c r="N76" s="5" t="s">
        <v>4</v>
      </c>
      <c r="O76">
        <v>1009.2</v>
      </c>
    </row>
    <row r="77" spans="1:17">
      <c r="A77" s="3">
        <v>6</v>
      </c>
      <c r="B77" s="2" t="s">
        <v>4</v>
      </c>
      <c r="C77">
        <v>1513.8</v>
      </c>
      <c r="G77" s="6">
        <v>4</v>
      </c>
      <c r="H77" s="5" t="s">
        <v>4</v>
      </c>
      <c r="I77">
        <v>1009.2</v>
      </c>
      <c r="M77" s="6">
        <v>4</v>
      </c>
      <c r="N77" s="5" t="s">
        <v>4</v>
      </c>
      <c r="O77">
        <v>1009.2</v>
      </c>
    </row>
    <row r="78" spans="1:17">
      <c r="A78" s="3">
        <v>6</v>
      </c>
      <c r="B78" s="2" t="s">
        <v>4</v>
      </c>
      <c r="C78">
        <v>1513.8</v>
      </c>
      <c r="G78" s="6">
        <v>2</v>
      </c>
      <c r="H78" s="5" t="s">
        <v>4</v>
      </c>
      <c r="I78">
        <v>504.6</v>
      </c>
      <c r="M78" s="6">
        <v>2</v>
      </c>
      <c r="N78" s="5" t="s">
        <v>4</v>
      </c>
      <c r="O78">
        <v>504.6</v>
      </c>
      <c r="Q78" t="s">
        <v>10</v>
      </c>
    </row>
    <row r="79" spans="1:17">
      <c r="A79" s="3">
        <v>6</v>
      </c>
      <c r="B79" s="2" t="s">
        <v>4</v>
      </c>
      <c r="C79">
        <v>1513.8</v>
      </c>
      <c r="G79" s="6">
        <v>2</v>
      </c>
      <c r="H79" s="5" t="s">
        <v>4</v>
      </c>
      <c r="I79">
        <v>504.6</v>
      </c>
      <c r="M79" s="6">
        <v>2</v>
      </c>
      <c r="N79" s="5" t="s">
        <v>4</v>
      </c>
      <c r="O79">
        <v>504.6</v>
      </c>
      <c r="Q79">
        <f>SUM(O18:O81)</f>
        <v>127159.1999999999</v>
      </c>
    </row>
    <row r="80" spans="1:17">
      <c r="A80" s="3">
        <v>4</v>
      </c>
      <c r="B80" s="2" t="s">
        <v>4</v>
      </c>
      <c r="C80">
        <v>1009.2</v>
      </c>
      <c r="G80" s="6">
        <v>2</v>
      </c>
      <c r="H80" s="5" t="s">
        <v>4</v>
      </c>
      <c r="I80">
        <v>504.6</v>
      </c>
      <c r="M80" s="6">
        <v>2</v>
      </c>
      <c r="N80" s="5" t="s">
        <v>4</v>
      </c>
      <c r="O80">
        <v>504.6</v>
      </c>
    </row>
    <row r="81" spans="1:15">
      <c r="A81" s="3">
        <v>4</v>
      </c>
      <c r="B81" s="2" t="s">
        <v>4</v>
      </c>
      <c r="C81">
        <v>1009.2</v>
      </c>
      <c r="G81" s="6">
        <v>2</v>
      </c>
      <c r="H81" s="5" t="s">
        <v>4</v>
      </c>
      <c r="I81">
        <v>504.6</v>
      </c>
      <c r="M81" s="6">
        <v>2</v>
      </c>
      <c r="N81" s="5" t="s">
        <v>4</v>
      </c>
      <c r="O81">
        <v>504.6</v>
      </c>
    </row>
    <row r="82" spans="1:15">
      <c r="A82" s="3">
        <v>4</v>
      </c>
      <c r="B82" s="2" t="s">
        <v>4</v>
      </c>
      <c r="C82">
        <v>1009.2</v>
      </c>
      <c r="G82" s="6">
        <v>2</v>
      </c>
      <c r="H82" s="5" t="s">
        <v>4</v>
      </c>
      <c r="I82">
        <v>504.6</v>
      </c>
      <c r="K82" t="s">
        <v>9</v>
      </c>
      <c r="O82">
        <f>SUM(O2:O81)</f>
        <v>218047.99999999991</v>
      </c>
    </row>
    <row r="83" spans="1:15">
      <c r="A83" s="3">
        <v>4</v>
      </c>
      <c r="B83" s="2" t="s">
        <v>4</v>
      </c>
      <c r="C83">
        <v>1009.2</v>
      </c>
      <c r="G83" s="6">
        <v>2</v>
      </c>
      <c r="H83" s="5" t="s">
        <v>4</v>
      </c>
      <c r="I83">
        <v>504.6</v>
      </c>
      <c r="K83">
        <f>SUM(I19:I86)</f>
        <v>131195.99999999991</v>
      </c>
      <c r="O83" s="15"/>
    </row>
    <row r="84" spans="1:15">
      <c r="A84" s="3">
        <v>4</v>
      </c>
      <c r="B84" s="2" t="s">
        <v>4</v>
      </c>
      <c r="C84">
        <v>1009.2</v>
      </c>
      <c r="G84" s="6">
        <v>2</v>
      </c>
      <c r="H84" s="5" t="s">
        <v>4</v>
      </c>
      <c r="I84">
        <v>504.6</v>
      </c>
      <c r="M84" s="12">
        <v>80</v>
      </c>
    </row>
    <row r="85" spans="1:15">
      <c r="A85" s="3">
        <v>4</v>
      </c>
      <c r="B85" s="2" t="s">
        <v>4</v>
      </c>
      <c r="C85">
        <v>1009.2</v>
      </c>
      <c r="G85" s="6">
        <v>2</v>
      </c>
      <c r="H85" s="5" t="s">
        <v>4</v>
      </c>
      <c r="I85">
        <v>504.6</v>
      </c>
      <c r="M85" s="14">
        <f>(M84*0.08)+M84</f>
        <v>86.4</v>
      </c>
    </row>
    <row r="86" spans="1:15">
      <c r="A86" s="3">
        <v>4</v>
      </c>
      <c r="B86" s="2" t="s">
        <v>4</v>
      </c>
      <c r="C86">
        <v>1009.2</v>
      </c>
      <c r="G86" s="6">
        <v>2</v>
      </c>
      <c r="H86" s="5" t="s">
        <v>4</v>
      </c>
      <c r="I86">
        <v>504.6</v>
      </c>
      <c r="M86">
        <v>86</v>
      </c>
    </row>
    <row r="87" spans="1:15">
      <c r="A87" s="3">
        <v>4</v>
      </c>
      <c r="B87" s="2" t="s">
        <v>4</v>
      </c>
      <c r="C87">
        <v>1009.2</v>
      </c>
      <c r="I87">
        <f>SUM(I2:I86)</f>
        <v>227431.19999999987</v>
      </c>
    </row>
    <row r="88" spans="1:15">
      <c r="A88" s="3">
        <v>2</v>
      </c>
      <c r="B88" s="2" t="s">
        <v>4</v>
      </c>
      <c r="C88">
        <v>504.6</v>
      </c>
      <c r="G88" s="12">
        <v>85</v>
      </c>
      <c r="I88" s="14"/>
    </row>
    <row r="89" spans="1:15">
      <c r="A89" s="3">
        <v>2</v>
      </c>
      <c r="B89" s="2" t="s">
        <v>4</v>
      </c>
      <c r="C89">
        <v>504.6</v>
      </c>
      <c r="G89" s="14">
        <f>(G88*0.08)+G88</f>
        <v>91.8</v>
      </c>
    </row>
    <row r="90" spans="1:15">
      <c r="A90" s="3">
        <v>2</v>
      </c>
      <c r="B90" s="2" t="s">
        <v>4</v>
      </c>
      <c r="C90">
        <v>504.6</v>
      </c>
      <c r="G90" s="12">
        <v>92</v>
      </c>
    </row>
    <row r="91" spans="1:15">
      <c r="A91" s="3">
        <v>2</v>
      </c>
      <c r="B91" s="2" t="s">
        <v>4</v>
      </c>
      <c r="C91">
        <v>504.6</v>
      </c>
    </row>
    <row r="92" spans="1:15">
      <c r="A92" s="3">
        <v>2</v>
      </c>
      <c r="B92" s="2" t="s">
        <v>4</v>
      </c>
      <c r="C92">
        <v>504.6</v>
      </c>
    </row>
    <row r="93" spans="1:15">
      <c r="A93" s="3">
        <v>2</v>
      </c>
      <c r="B93" s="2" t="s">
        <v>4</v>
      </c>
      <c r="C93">
        <v>504.6</v>
      </c>
      <c r="N93">
        <f>(2643-2523)/2523</f>
        <v>4.7562425683709872E-2</v>
      </c>
    </row>
    <row r="94" spans="1:15">
      <c r="A94" s="3">
        <v>2</v>
      </c>
      <c r="B94" s="2" t="s">
        <v>4</v>
      </c>
      <c r="C94">
        <v>504.6</v>
      </c>
    </row>
    <row r="95" spans="1:15">
      <c r="A95" s="3">
        <v>2</v>
      </c>
      <c r="B95" s="2" t="s">
        <v>4</v>
      </c>
      <c r="C95">
        <v>504.6</v>
      </c>
    </row>
    <row r="96" spans="1:15">
      <c r="A96" s="3">
        <v>2</v>
      </c>
      <c r="B96" s="2" t="s">
        <v>4</v>
      </c>
      <c r="C96">
        <v>504.6</v>
      </c>
      <c r="G96" t="s">
        <v>35</v>
      </c>
      <c r="J96" t="s">
        <v>38</v>
      </c>
    </row>
    <row r="97" spans="1:10">
      <c r="A97" s="3">
        <v>2</v>
      </c>
      <c r="B97" s="2" t="s">
        <v>4</v>
      </c>
      <c r="C97">
        <v>504.6</v>
      </c>
      <c r="G97">
        <f>A102+G88+M84</f>
        <v>264</v>
      </c>
      <c r="J97">
        <f>E12/G97</f>
        <v>2657.0772727272715</v>
      </c>
    </row>
    <row r="98" spans="1:10">
      <c r="A98" s="3">
        <v>2</v>
      </c>
      <c r="B98" s="2" t="s">
        <v>4</v>
      </c>
      <c r="C98">
        <v>504.6</v>
      </c>
    </row>
    <row r="99" spans="1:10">
      <c r="A99" s="3">
        <v>2</v>
      </c>
      <c r="B99" s="2" t="s">
        <v>4</v>
      </c>
      <c r="C99">
        <v>504.6</v>
      </c>
      <c r="E99" t="s">
        <v>7</v>
      </c>
      <c r="G99" t="s">
        <v>36</v>
      </c>
    </row>
    <row r="100" spans="1:10">
      <c r="A100" s="3">
        <v>2</v>
      </c>
      <c r="B100" s="2" t="s">
        <v>4</v>
      </c>
      <c r="C100">
        <v>504.6</v>
      </c>
      <c r="E100">
        <f>SUM(C18:C100)</f>
        <v>154407.59999999998</v>
      </c>
      <c r="G100">
        <f>A103+G90+M86</f>
        <v>285</v>
      </c>
    </row>
    <row r="101" spans="1:10">
      <c r="A101">
        <f>SUM(A2:A100)</f>
        <v>848</v>
      </c>
      <c r="C101">
        <f>SUM(C2:C100)</f>
        <v>255989.19999999995</v>
      </c>
    </row>
    <row r="102" spans="1:10">
      <c r="A102" s="11">
        <v>99</v>
      </c>
      <c r="C102" s="14"/>
      <c r="G102">
        <f>16*3</f>
        <v>48</v>
      </c>
      <c r="H102" t="s">
        <v>41</v>
      </c>
    </row>
    <row r="103" spans="1:10" ht="30">
      <c r="A103" s="11">
        <v>107</v>
      </c>
      <c r="B103" s="13" t="s">
        <v>37</v>
      </c>
      <c r="G103" s="9">
        <f>G102/G97</f>
        <v>0.18181818181818182</v>
      </c>
      <c r="H103" t="s">
        <v>39</v>
      </c>
      <c r="J103" t="s">
        <v>40</v>
      </c>
    </row>
    <row r="104" spans="1:10">
      <c r="A104" s="9">
        <f>(A103-A102)/A102</f>
        <v>8.0808080808080815E-2</v>
      </c>
      <c r="G104" s="17">
        <f>G103*G100</f>
        <v>51.81818181818182</v>
      </c>
      <c r="H104" t="s">
        <v>42</v>
      </c>
    </row>
    <row r="106" spans="1:10">
      <c r="A106">
        <f>(A101*0.08)+A101</f>
        <v>915.84</v>
      </c>
      <c r="G106" s="17">
        <f>G100-G104</f>
        <v>233.18181818181819</v>
      </c>
      <c r="H106" t="s">
        <v>43</v>
      </c>
    </row>
    <row r="107" spans="1:10">
      <c r="H107">
        <f>J97+(0.05*J97)</f>
        <v>2789.9311363636352</v>
      </c>
    </row>
    <row r="109" spans="1:10">
      <c r="H109" s="17">
        <f>(H107*G106)+(J97*G104)</f>
        <v>788246.12820247898</v>
      </c>
      <c r="I109" t="s">
        <v>44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10"/>
  <sheetViews>
    <sheetView workbookViewId="0">
      <selection activeCell="A2" sqref="A2:B10"/>
    </sheetView>
  </sheetViews>
  <sheetFormatPr defaultRowHeight="15"/>
  <cols>
    <col min="1" max="1" width="22.28515625" bestFit="1" customWidth="1"/>
  </cols>
  <sheetData>
    <row r="2" spans="1:2">
      <c r="A2" t="s">
        <v>15</v>
      </c>
      <c r="B2">
        <v>75000</v>
      </c>
    </row>
    <row r="4" spans="1:2">
      <c r="A4" t="s">
        <v>16</v>
      </c>
      <c r="B4">
        <f>1224.44+761.52</f>
        <v>1985.96</v>
      </c>
    </row>
    <row r="6" spans="1:2">
      <c r="A6" t="s">
        <v>17</v>
      </c>
      <c r="B6">
        <v>4541.3999999999996</v>
      </c>
    </row>
    <row r="8" spans="1:2">
      <c r="A8" t="s">
        <v>18</v>
      </c>
      <c r="B8">
        <v>5965.2</v>
      </c>
    </row>
    <row r="10" spans="1:2">
      <c r="A10" t="s">
        <v>19</v>
      </c>
      <c r="B10">
        <f>SUM(B2:B8)</f>
        <v>87492.56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B3" sqref="B3"/>
    </sheetView>
  </sheetViews>
  <sheetFormatPr defaultRowHeight="15"/>
  <cols>
    <col min="1" max="1" width="18.7109375" bestFit="1" customWidth="1"/>
  </cols>
  <sheetData>
    <row r="1" spans="1:4">
      <c r="A1" t="s">
        <v>79</v>
      </c>
      <c r="B1">
        <f>47083-(2923*4)</f>
        <v>35391</v>
      </c>
      <c r="C1" t="s">
        <v>82</v>
      </c>
    </row>
    <row r="2" spans="1:4">
      <c r="A2" t="s">
        <v>29</v>
      </c>
      <c r="B2">
        <v>254830</v>
      </c>
      <c r="C2" t="s">
        <v>30</v>
      </c>
    </row>
    <row r="3" spans="1:4">
      <c r="A3" t="s">
        <v>83</v>
      </c>
      <c r="B3">
        <v>33914</v>
      </c>
      <c r="C3" t="s">
        <v>89</v>
      </c>
    </row>
    <row r="4" spans="1:4">
      <c r="A4" t="s">
        <v>84</v>
      </c>
      <c r="B4">
        <v>42774</v>
      </c>
      <c r="C4" t="s">
        <v>90</v>
      </c>
    </row>
    <row r="5" spans="1:4">
      <c r="B5">
        <f>27969+33109+1825+51705</f>
        <v>114608</v>
      </c>
      <c r="C5" t="s">
        <v>88</v>
      </c>
    </row>
    <row r="6" spans="1:4">
      <c r="A6">
        <v>25102</v>
      </c>
      <c r="B6">
        <v>12376</v>
      </c>
    </row>
    <row r="7" spans="1:4">
      <c r="A7" s="8">
        <v>25101</v>
      </c>
      <c r="B7" s="8">
        <v>92003</v>
      </c>
      <c r="C7" t="s">
        <v>78</v>
      </c>
    </row>
    <row r="8" spans="1:4">
      <c r="A8" t="s">
        <v>31</v>
      </c>
      <c r="B8">
        <f>SUM(B2:B7)</f>
        <v>550505</v>
      </c>
    </row>
    <row r="12" spans="1:4">
      <c r="A12" t="s">
        <v>32</v>
      </c>
      <c r="B12">
        <v>500</v>
      </c>
    </row>
    <row r="13" spans="1:4">
      <c r="A13" t="s">
        <v>33</v>
      </c>
      <c r="B13">
        <v>3000</v>
      </c>
    </row>
    <row r="14" spans="1:4">
      <c r="A14" t="s">
        <v>47</v>
      </c>
      <c r="B14">
        <v>36000</v>
      </c>
      <c r="C14" t="s">
        <v>50</v>
      </c>
    </row>
    <row r="15" spans="1:4">
      <c r="A15" t="s">
        <v>48</v>
      </c>
      <c r="B15">
        <f>0.9*60000</f>
        <v>54000</v>
      </c>
      <c r="C15">
        <v>20000</v>
      </c>
      <c r="D15">
        <f>SUM(B15:C15)</f>
        <v>74000</v>
      </c>
    </row>
    <row r="16" spans="1:4">
      <c r="A16" t="s">
        <v>49</v>
      </c>
      <c r="B16">
        <f>0.9*40000</f>
        <v>36000</v>
      </c>
      <c r="C16">
        <v>20000</v>
      </c>
      <c r="D16">
        <f>SUM(B16:C16)</f>
        <v>56000</v>
      </c>
    </row>
    <row r="17" spans="3:5">
      <c r="D17">
        <f>SUM(D15:D16)</f>
        <v>130000</v>
      </c>
    </row>
    <row r="21" spans="3:5">
      <c r="D21">
        <v>7400</v>
      </c>
    </row>
    <row r="22" spans="3:5">
      <c r="D22">
        <v>110797</v>
      </c>
    </row>
    <row r="23" spans="3:5">
      <c r="D23">
        <f>D17+3000*7+500*3</f>
        <v>152500</v>
      </c>
      <c r="E23" t="s">
        <v>51</v>
      </c>
    </row>
    <row r="24" spans="3:5">
      <c r="D24">
        <f>(375958/4)*3</f>
        <v>281968.5</v>
      </c>
      <c r="E24" t="s">
        <v>45</v>
      </c>
    </row>
    <row r="25" spans="3:5">
      <c r="C25" t="s">
        <v>34</v>
      </c>
      <c r="D25">
        <f>SUM(D21:D24)</f>
        <v>552665.5</v>
      </c>
    </row>
    <row r="27" spans="3:5">
      <c r="E27" t="s">
        <v>46</v>
      </c>
    </row>
    <row r="29" spans="3:5">
      <c r="E29" t="s">
        <v>52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G40" sqref="G40"/>
    </sheetView>
  </sheetViews>
  <sheetFormatPr defaultRowHeight="15"/>
  <cols>
    <col min="1" max="1" width="22.140625" bestFit="1" customWidth="1"/>
    <col min="3" max="3" width="15.42578125" bestFit="1" customWidth="1"/>
  </cols>
  <sheetData>
    <row r="1" spans="1:16">
      <c r="C1" t="s">
        <v>55</v>
      </c>
    </row>
    <row r="2" spans="1:16">
      <c r="A2" s="18" t="s">
        <v>56</v>
      </c>
      <c r="B2">
        <v>60</v>
      </c>
      <c r="C2" s="16">
        <f>529087/B2</f>
        <v>8818.1166666666668</v>
      </c>
    </row>
    <row r="3" spans="1:16">
      <c r="A3" t="s">
        <v>53</v>
      </c>
      <c r="B3">
        <v>64.400000000000006</v>
      </c>
      <c r="C3" s="16">
        <f>529087/B3</f>
        <v>8215.6366459627316</v>
      </c>
      <c r="D3" t="s">
        <v>60</v>
      </c>
      <c r="M3">
        <f>64.4*600</f>
        <v>38640</v>
      </c>
    </row>
    <row r="4" spans="1:16">
      <c r="C4" s="16"/>
      <c r="K4">
        <f>2600*83.6</f>
        <v>217359.99999999997</v>
      </c>
    </row>
    <row r="5" spans="1:16">
      <c r="A5" t="s">
        <v>57</v>
      </c>
      <c r="B5">
        <v>60</v>
      </c>
      <c r="C5" s="16">
        <f>546564/FTE!B5</f>
        <v>9109.4</v>
      </c>
    </row>
    <row r="6" spans="1:16">
      <c r="A6" t="s">
        <v>53</v>
      </c>
      <c r="B6">
        <v>83.6</v>
      </c>
      <c r="C6" s="16">
        <f>546564/FTE!B6</f>
        <v>6537.8468899521531</v>
      </c>
      <c r="D6" t="s">
        <v>58</v>
      </c>
      <c r="P6">
        <f>1700*83.6</f>
        <v>142120</v>
      </c>
    </row>
    <row r="7" spans="1:16">
      <c r="D7" t="s">
        <v>59</v>
      </c>
    </row>
    <row r="8" spans="1:16">
      <c r="A8" t="s">
        <v>54</v>
      </c>
      <c r="B8">
        <v>60</v>
      </c>
      <c r="C8">
        <f>552665/B8</f>
        <v>9211.0833333333339</v>
      </c>
    </row>
    <row r="9" spans="1:16">
      <c r="A9" t="s">
        <v>61</v>
      </c>
      <c r="B9">
        <v>91.6</v>
      </c>
      <c r="C9">
        <f>552665/B9</f>
        <v>6033.4606986899571</v>
      </c>
      <c r="D9" t="s">
        <v>62</v>
      </c>
    </row>
    <row r="10" spans="1:16">
      <c r="D10" t="s">
        <v>63</v>
      </c>
      <c r="M10">
        <f>3200*91.6</f>
        <v>293120</v>
      </c>
    </row>
    <row r="11" spans="1:16">
      <c r="A11" t="s">
        <v>64</v>
      </c>
      <c r="B11">
        <f>60</f>
        <v>60</v>
      </c>
      <c r="C11">
        <f>(C2+C5+C8)/3</f>
        <v>9046.1999999999989</v>
      </c>
    </row>
    <row r="12" spans="1:16">
      <c r="A12" t="s">
        <v>67</v>
      </c>
      <c r="B12">
        <f>(B9+B6+B3)/3</f>
        <v>79.86666666666666</v>
      </c>
      <c r="C12">
        <f>(C3+C6+C9)/3</f>
        <v>6928.9814115349473</v>
      </c>
      <c r="L12">
        <f>500*91.6</f>
        <v>45800</v>
      </c>
    </row>
    <row r="16" spans="1:16">
      <c r="C16" t="s">
        <v>65</v>
      </c>
    </row>
    <row r="17" spans="3:4">
      <c r="C17">
        <f>7000*80</f>
        <v>560000</v>
      </c>
      <c r="D17" t="s">
        <v>66</v>
      </c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sqref="A1:C9"/>
    </sheetView>
  </sheetViews>
  <sheetFormatPr defaultRowHeight="15"/>
  <cols>
    <col min="1" max="1" width="11.28515625" bestFit="1" customWidth="1"/>
  </cols>
  <sheetData>
    <row r="1" spans="1:9">
      <c r="A1" t="s">
        <v>75</v>
      </c>
      <c r="B1" t="s">
        <v>73</v>
      </c>
      <c r="C1" t="s">
        <v>74</v>
      </c>
      <c r="E1" t="s">
        <v>76</v>
      </c>
      <c r="F1" t="s">
        <v>73</v>
      </c>
      <c r="G1" t="s">
        <v>74</v>
      </c>
    </row>
    <row r="2" spans="1:9">
      <c r="A2">
        <v>2</v>
      </c>
      <c r="B2" s="17">
        <f>264.25*2</f>
        <v>528.5</v>
      </c>
      <c r="C2" s="17">
        <f>668.63*2</f>
        <v>1337.26</v>
      </c>
      <c r="E2">
        <v>2</v>
      </c>
    </row>
    <row r="3" spans="1:9">
      <c r="A3">
        <v>4</v>
      </c>
      <c r="B3" s="17">
        <f>264.25*4</f>
        <v>1057</v>
      </c>
      <c r="C3" s="17">
        <f>668.63*4</f>
        <v>2674.52</v>
      </c>
      <c r="E3">
        <v>4</v>
      </c>
    </row>
    <row r="4" spans="1:9">
      <c r="A4">
        <v>6</v>
      </c>
      <c r="B4" s="17">
        <f>264.25*6</f>
        <v>1585.5</v>
      </c>
      <c r="C4" s="17">
        <f>668.63*6</f>
        <v>4011.7799999999997</v>
      </c>
      <c r="E4">
        <v>6</v>
      </c>
    </row>
    <row r="5" spans="1:9">
      <c r="A5">
        <v>8</v>
      </c>
      <c r="B5" s="17">
        <v>2114</v>
      </c>
      <c r="C5" s="17">
        <f>668.63*8</f>
        <v>5349.04</v>
      </c>
      <c r="E5">
        <v>8</v>
      </c>
    </row>
    <row r="6" spans="1:9">
      <c r="A6">
        <v>10</v>
      </c>
      <c r="B6">
        <v>2643</v>
      </c>
      <c r="C6">
        <v>6686</v>
      </c>
      <c r="E6">
        <v>10</v>
      </c>
    </row>
    <row r="7" spans="1:9">
      <c r="A7">
        <v>12</v>
      </c>
      <c r="B7">
        <v>2643</v>
      </c>
      <c r="C7">
        <v>6686</v>
      </c>
      <c r="E7">
        <v>12</v>
      </c>
    </row>
    <row r="8" spans="1:9">
      <c r="A8">
        <v>14</v>
      </c>
      <c r="B8">
        <v>2643</v>
      </c>
      <c r="C8">
        <v>6686</v>
      </c>
      <c r="E8">
        <v>14</v>
      </c>
    </row>
    <row r="9" spans="1:9">
      <c r="A9">
        <v>16</v>
      </c>
      <c r="B9">
        <v>2643</v>
      </c>
      <c r="C9">
        <v>6686</v>
      </c>
      <c r="E9">
        <v>16</v>
      </c>
    </row>
    <row r="10" spans="1:9">
      <c r="A10" t="s">
        <v>98</v>
      </c>
    </row>
    <row r="11" spans="1:9">
      <c r="A11" t="s">
        <v>94</v>
      </c>
      <c r="D11" t="s">
        <v>95</v>
      </c>
      <c r="G11" t="s">
        <v>96</v>
      </c>
    </row>
    <row r="12" spans="1:9">
      <c r="A12" s="24" t="s">
        <v>2</v>
      </c>
      <c r="B12" s="24" t="s">
        <v>3</v>
      </c>
      <c r="D12" s="24" t="s">
        <v>2</v>
      </c>
      <c r="E12" s="24" t="s">
        <v>3</v>
      </c>
      <c r="G12" s="24" t="s">
        <v>2</v>
      </c>
      <c r="H12" s="24" t="s">
        <v>3</v>
      </c>
    </row>
    <row r="13" spans="1:9">
      <c r="A13" s="25">
        <v>2</v>
      </c>
      <c r="B13" s="26" t="s">
        <v>4</v>
      </c>
      <c r="C13">
        <v>529</v>
      </c>
      <c r="D13" s="25">
        <v>2</v>
      </c>
      <c r="E13" s="26" t="s">
        <v>4</v>
      </c>
      <c r="F13">
        <v>529</v>
      </c>
      <c r="G13" s="25">
        <v>2</v>
      </c>
      <c r="H13" s="26" t="s">
        <v>4</v>
      </c>
      <c r="I13">
        <v>529</v>
      </c>
    </row>
    <row r="14" spans="1:9">
      <c r="A14" s="25">
        <v>2</v>
      </c>
      <c r="B14" s="26" t="s">
        <v>4</v>
      </c>
      <c r="C14">
        <v>529</v>
      </c>
      <c r="D14" s="25">
        <v>2</v>
      </c>
      <c r="E14" s="26" t="s">
        <v>4</v>
      </c>
      <c r="F14">
        <v>529</v>
      </c>
      <c r="G14" s="25">
        <v>2</v>
      </c>
      <c r="H14" s="26" t="s">
        <v>4</v>
      </c>
      <c r="I14">
        <v>529</v>
      </c>
    </row>
    <row r="15" spans="1:9">
      <c r="A15" s="25">
        <v>2</v>
      </c>
      <c r="B15" s="26" t="s">
        <v>4</v>
      </c>
      <c r="C15">
        <v>529</v>
      </c>
      <c r="D15" s="25">
        <v>2</v>
      </c>
      <c r="E15" s="26" t="s">
        <v>4</v>
      </c>
      <c r="F15">
        <v>529</v>
      </c>
      <c r="G15" s="25">
        <v>2</v>
      </c>
      <c r="H15" s="26" t="s">
        <v>4</v>
      </c>
      <c r="I15">
        <v>529</v>
      </c>
    </row>
    <row r="16" spans="1:9">
      <c r="A16" s="25">
        <v>4</v>
      </c>
      <c r="B16" s="26" t="s">
        <v>4</v>
      </c>
      <c r="C16">
        <v>1057</v>
      </c>
      <c r="D16" s="25">
        <v>2</v>
      </c>
      <c r="E16" s="26" t="s">
        <v>4</v>
      </c>
      <c r="F16">
        <v>529</v>
      </c>
      <c r="G16" s="25">
        <v>2</v>
      </c>
      <c r="H16" s="26" t="s">
        <v>4</v>
      </c>
      <c r="I16">
        <v>529</v>
      </c>
    </row>
    <row r="17" spans="1:9">
      <c r="A17" s="25">
        <v>4</v>
      </c>
      <c r="B17" s="26" t="s">
        <v>4</v>
      </c>
      <c r="C17">
        <v>1057</v>
      </c>
      <c r="D17" s="25">
        <v>2</v>
      </c>
      <c r="E17" s="26" t="s">
        <v>4</v>
      </c>
      <c r="F17">
        <v>529</v>
      </c>
      <c r="G17" s="25">
        <v>2</v>
      </c>
      <c r="H17" s="26" t="s">
        <v>4</v>
      </c>
      <c r="I17">
        <v>529</v>
      </c>
    </row>
    <row r="18" spans="1:9">
      <c r="A18" s="25">
        <v>4</v>
      </c>
      <c r="B18" s="26" t="s">
        <v>4</v>
      </c>
      <c r="C18">
        <v>1057</v>
      </c>
      <c r="D18" s="25">
        <v>2</v>
      </c>
      <c r="E18" s="26" t="s">
        <v>4</v>
      </c>
      <c r="F18">
        <v>529</v>
      </c>
      <c r="G18" s="25">
        <v>2</v>
      </c>
      <c r="H18" s="26" t="s">
        <v>4</v>
      </c>
      <c r="I18">
        <v>529</v>
      </c>
    </row>
    <row r="19" spans="1:9">
      <c r="A19" s="25">
        <v>4</v>
      </c>
      <c r="B19" s="26" t="s">
        <v>4</v>
      </c>
      <c r="C19">
        <v>1057</v>
      </c>
      <c r="D19" s="25">
        <v>2</v>
      </c>
      <c r="E19" s="26" t="s">
        <v>4</v>
      </c>
      <c r="F19">
        <v>529</v>
      </c>
      <c r="G19" s="25">
        <v>2</v>
      </c>
      <c r="H19" s="26" t="s">
        <v>4</v>
      </c>
      <c r="I19">
        <v>529</v>
      </c>
    </row>
    <row r="20" spans="1:9">
      <c r="A20" s="25">
        <v>4</v>
      </c>
      <c r="B20" s="26" t="s">
        <v>4</v>
      </c>
      <c r="C20">
        <v>1057</v>
      </c>
      <c r="D20" s="25">
        <v>2</v>
      </c>
      <c r="E20" s="26" t="s">
        <v>4</v>
      </c>
      <c r="F20">
        <v>529</v>
      </c>
      <c r="G20" s="25">
        <v>4</v>
      </c>
      <c r="H20" s="26" t="s">
        <v>5</v>
      </c>
      <c r="I20">
        <v>2675</v>
      </c>
    </row>
    <row r="21" spans="1:9">
      <c r="A21" s="25">
        <v>4</v>
      </c>
      <c r="B21" s="26" t="s">
        <v>4</v>
      </c>
      <c r="C21">
        <v>1057</v>
      </c>
      <c r="D21" s="25">
        <v>2</v>
      </c>
      <c r="E21" s="26" t="s">
        <v>4</v>
      </c>
      <c r="F21">
        <v>529</v>
      </c>
      <c r="G21" s="25">
        <v>4</v>
      </c>
      <c r="H21" s="26" t="s">
        <v>4</v>
      </c>
      <c r="I21">
        <v>1057</v>
      </c>
    </row>
    <row r="22" spans="1:9">
      <c r="A22" s="25">
        <v>4</v>
      </c>
      <c r="B22" s="26" t="s">
        <v>4</v>
      </c>
      <c r="C22">
        <v>1057</v>
      </c>
      <c r="D22" s="25">
        <v>2</v>
      </c>
      <c r="E22" s="26" t="s">
        <v>4</v>
      </c>
      <c r="F22">
        <v>529</v>
      </c>
      <c r="G22" s="25">
        <v>4</v>
      </c>
      <c r="H22" s="26" t="s">
        <v>4</v>
      </c>
      <c r="I22">
        <v>1057</v>
      </c>
    </row>
    <row r="23" spans="1:9">
      <c r="A23" s="25">
        <v>6</v>
      </c>
      <c r="B23" s="26" t="s">
        <v>4</v>
      </c>
      <c r="C23">
        <v>1586</v>
      </c>
      <c r="D23" s="25">
        <v>2</v>
      </c>
      <c r="E23" s="26" t="s">
        <v>4</v>
      </c>
      <c r="F23">
        <v>529</v>
      </c>
      <c r="G23" s="25">
        <v>4</v>
      </c>
      <c r="H23" s="26" t="s">
        <v>4</v>
      </c>
      <c r="I23">
        <v>1057</v>
      </c>
    </row>
    <row r="24" spans="1:9">
      <c r="A24" s="25">
        <v>6</v>
      </c>
      <c r="B24" s="26" t="s">
        <v>4</v>
      </c>
      <c r="C24">
        <v>1586</v>
      </c>
      <c r="D24" s="25">
        <v>4</v>
      </c>
      <c r="E24" s="26" t="s">
        <v>5</v>
      </c>
      <c r="F24">
        <v>2675</v>
      </c>
      <c r="G24" s="25">
        <v>4</v>
      </c>
      <c r="H24" s="26" t="s">
        <v>4</v>
      </c>
      <c r="I24">
        <v>1057</v>
      </c>
    </row>
    <row r="25" spans="1:9">
      <c r="A25" s="25">
        <v>6</v>
      </c>
      <c r="B25" s="26" t="s">
        <v>4</v>
      </c>
      <c r="C25">
        <v>1586</v>
      </c>
      <c r="D25" s="25">
        <v>4</v>
      </c>
      <c r="E25" s="26" t="s">
        <v>4</v>
      </c>
      <c r="F25">
        <v>1057</v>
      </c>
      <c r="G25" s="25">
        <v>4</v>
      </c>
      <c r="H25" s="26" t="s">
        <v>4</v>
      </c>
      <c r="I25">
        <v>1057</v>
      </c>
    </row>
    <row r="26" spans="1:9">
      <c r="A26" s="25">
        <v>6</v>
      </c>
      <c r="B26" s="26" t="s">
        <v>4</v>
      </c>
      <c r="C26">
        <v>1586</v>
      </c>
      <c r="D26" s="25">
        <v>4</v>
      </c>
      <c r="E26" s="26" t="s">
        <v>4</v>
      </c>
      <c r="F26">
        <v>1057</v>
      </c>
      <c r="G26" s="25">
        <v>4</v>
      </c>
      <c r="H26" s="26" t="s">
        <v>4</v>
      </c>
      <c r="I26">
        <v>1057</v>
      </c>
    </row>
    <row r="27" spans="1:9">
      <c r="A27" s="25">
        <v>8</v>
      </c>
      <c r="B27" s="26" t="s">
        <v>5</v>
      </c>
      <c r="C27">
        <v>5349</v>
      </c>
      <c r="D27" s="25">
        <v>4</v>
      </c>
      <c r="E27" s="26" t="s">
        <v>4</v>
      </c>
      <c r="F27">
        <v>1057</v>
      </c>
      <c r="G27" s="25">
        <v>4</v>
      </c>
      <c r="H27" s="26" t="s">
        <v>4</v>
      </c>
      <c r="I27">
        <v>1057</v>
      </c>
    </row>
    <row r="28" spans="1:9">
      <c r="A28" s="25">
        <v>8</v>
      </c>
      <c r="B28" s="26" t="s">
        <v>5</v>
      </c>
      <c r="C28">
        <v>5349</v>
      </c>
      <c r="D28" s="25">
        <v>8</v>
      </c>
      <c r="E28" s="26" t="s">
        <v>5</v>
      </c>
      <c r="F28">
        <v>5349</v>
      </c>
      <c r="G28" s="25">
        <v>4</v>
      </c>
      <c r="H28" s="26" t="s">
        <v>4</v>
      </c>
      <c r="I28">
        <v>1057</v>
      </c>
    </row>
    <row r="29" spans="1:9">
      <c r="A29" s="25">
        <v>8</v>
      </c>
      <c r="B29" s="26" t="s">
        <v>4</v>
      </c>
      <c r="C29">
        <v>2114</v>
      </c>
      <c r="D29" s="25">
        <v>8</v>
      </c>
      <c r="E29" s="26" t="s">
        <v>5</v>
      </c>
      <c r="F29">
        <v>5349</v>
      </c>
      <c r="G29" s="25">
        <v>4</v>
      </c>
      <c r="H29" s="26" t="s">
        <v>4</v>
      </c>
      <c r="I29">
        <v>1057</v>
      </c>
    </row>
    <row r="30" spans="1:9">
      <c r="A30" s="25">
        <v>8</v>
      </c>
      <c r="B30" s="26" t="s">
        <v>4</v>
      </c>
      <c r="C30">
        <v>2114</v>
      </c>
      <c r="D30" s="25">
        <v>8</v>
      </c>
      <c r="E30" s="26" t="s">
        <v>5</v>
      </c>
      <c r="F30">
        <v>5349</v>
      </c>
      <c r="G30" s="25">
        <v>6</v>
      </c>
      <c r="H30" s="26" t="s">
        <v>4</v>
      </c>
      <c r="I30">
        <v>1586</v>
      </c>
    </row>
    <row r="31" spans="1:9">
      <c r="A31" s="25">
        <v>8</v>
      </c>
      <c r="B31" s="26" t="s">
        <v>4</v>
      </c>
      <c r="C31">
        <v>2114</v>
      </c>
      <c r="D31" s="25">
        <v>8</v>
      </c>
      <c r="E31" s="26" t="s">
        <v>4</v>
      </c>
      <c r="F31">
        <v>2114</v>
      </c>
      <c r="G31" s="25">
        <v>8</v>
      </c>
      <c r="H31" s="26" t="s">
        <v>5</v>
      </c>
      <c r="I31">
        <v>5349</v>
      </c>
    </row>
    <row r="32" spans="1:9">
      <c r="A32" s="25">
        <v>8</v>
      </c>
      <c r="B32" s="26" t="s">
        <v>4</v>
      </c>
      <c r="C32">
        <v>2114</v>
      </c>
      <c r="D32" s="25">
        <v>8</v>
      </c>
      <c r="E32" s="26" t="s">
        <v>4</v>
      </c>
      <c r="F32">
        <v>2114</v>
      </c>
      <c r="G32" s="25">
        <v>8</v>
      </c>
      <c r="H32" s="26" t="s">
        <v>5</v>
      </c>
      <c r="I32">
        <v>5349</v>
      </c>
    </row>
    <row r="33" spans="1:9">
      <c r="A33" s="25">
        <v>8</v>
      </c>
      <c r="B33" s="26" t="s">
        <v>4</v>
      </c>
      <c r="C33">
        <v>2114</v>
      </c>
      <c r="D33" s="25">
        <v>8</v>
      </c>
      <c r="E33" s="26" t="s">
        <v>4</v>
      </c>
      <c r="F33">
        <v>2114</v>
      </c>
      <c r="G33" s="25">
        <v>8</v>
      </c>
      <c r="H33" s="26" t="s">
        <v>5</v>
      </c>
      <c r="I33">
        <v>5349</v>
      </c>
    </row>
    <row r="34" spans="1:9">
      <c r="A34" s="25">
        <v>8</v>
      </c>
      <c r="B34" s="26" t="s">
        <v>4</v>
      </c>
      <c r="C34">
        <v>2114</v>
      </c>
      <c r="D34" s="25">
        <v>8</v>
      </c>
      <c r="E34" s="26" t="s">
        <v>4</v>
      </c>
      <c r="F34">
        <v>2114</v>
      </c>
      <c r="G34" s="25">
        <v>8</v>
      </c>
      <c r="H34" s="26" t="s">
        <v>4</v>
      </c>
      <c r="I34">
        <v>2114</v>
      </c>
    </row>
    <row r="35" spans="1:9">
      <c r="A35" s="25">
        <v>8</v>
      </c>
      <c r="B35" s="26" t="s">
        <v>4</v>
      </c>
      <c r="C35">
        <v>2114</v>
      </c>
      <c r="D35" s="25">
        <v>8</v>
      </c>
      <c r="E35" s="26" t="s">
        <v>4</v>
      </c>
      <c r="F35">
        <v>2114</v>
      </c>
      <c r="G35" s="25">
        <v>8</v>
      </c>
      <c r="H35" s="26" t="s">
        <v>4</v>
      </c>
      <c r="I35">
        <v>2114</v>
      </c>
    </row>
    <row r="36" spans="1:9">
      <c r="A36" s="25">
        <v>8</v>
      </c>
      <c r="B36" s="26" t="s">
        <v>4</v>
      </c>
      <c r="C36">
        <v>2114</v>
      </c>
      <c r="D36" s="25">
        <v>8</v>
      </c>
      <c r="E36" s="26" t="s">
        <v>4</v>
      </c>
      <c r="F36">
        <v>2114</v>
      </c>
      <c r="G36" s="25">
        <v>8</v>
      </c>
      <c r="H36" s="26" t="s">
        <v>4</v>
      </c>
      <c r="I36">
        <v>2114</v>
      </c>
    </row>
    <row r="37" spans="1:9">
      <c r="A37" s="25">
        <v>8</v>
      </c>
      <c r="B37" s="26" t="s">
        <v>4</v>
      </c>
      <c r="C37">
        <v>2114</v>
      </c>
      <c r="D37" s="25">
        <v>8</v>
      </c>
      <c r="E37" s="26" t="s">
        <v>4</v>
      </c>
      <c r="F37">
        <v>2114</v>
      </c>
      <c r="G37" s="25">
        <v>8</v>
      </c>
      <c r="H37" s="26" t="s">
        <v>4</v>
      </c>
      <c r="I37">
        <v>2114</v>
      </c>
    </row>
    <row r="38" spans="1:9">
      <c r="A38" s="25">
        <v>8</v>
      </c>
      <c r="B38" s="26" t="s">
        <v>4</v>
      </c>
      <c r="C38">
        <v>2114</v>
      </c>
      <c r="D38" s="25">
        <v>8</v>
      </c>
      <c r="E38" s="26" t="s">
        <v>4</v>
      </c>
      <c r="F38">
        <v>2114</v>
      </c>
      <c r="G38" s="25">
        <v>8</v>
      </c>
      <c r="H38" s="26" t="s">
        <v>4</v>
      </c>
      <c r="I38">
        <v>2114</v>
      </c>
    </row>
    <row r="39" spans="1:9">
      <c r="A39" s="25">
        <v>8</v>
      </c>
      <c r="B39" s="26" t="s">
        <v>4</v>
      </c>
      <c r="C39">
        <v>2114</v>
      </c>
      <c r="D39" s="25">
        <v>8</v>
      </c>
      <c r="E39" s="26" t="s">
        <v>4</v>
      </c>
      <c r="F39">
        <v>2114</v>
      </c>
      <c r="G39" s="25">
        <v>8</v>
      </c>
      <c r="H39" s="26" t="s">
        <v>4</v>
      </c>
      <c r="I39">
        <v>2114</v>
      </c>
    </row>
    <row r="40" spans="1:9">
      <c r="A40" s="25">
        <v>8</v>
      </c>
      <c r="B40" s="26" t="s">
        <v>4</v>
      </c>
      <c r="C40">
        <v>2114</v>
      </c>
      <c r="D40" s="25">
        <v>8</v>
      </c>
      <c r="E40" s="26" t="s">
        <v>4</v>
      </c>
      <c r="F40">
        <v>2114</v>
      </c>
      <c r="G40" s="25">
        <v>8</v>
      </c>
      <c r="H40" s="26" t="s">
        <v>4</v>
      </c>
      <c r="I40">
        <v>2114</v>
      </c>
    </row>
    <row r="41" spans="1:9">
      <c r="A41" s="25">
        <v>8</v>
      </c>
      <c r="B41" s="26" t="s">
        <v>4</v>
      </c>
      <c r="C41">
        <v>2114</v>
      </c>
      <c r="D41" s="25">
        <v>8</v>
      </c>
      <c r="E41" s="26" t="s">
        <v>4</v>
      </c>
      <c r="F41">
        <v>2114</v>
      </c>
      <c r="G41" s="25">
        <v>8</v>
      </c>
      <c r="H41" s="26" t="s">
        <v>4</v>
      </c>
      <c r="I41">
        <v>2114</v>
      </c>
    </row>
    <row r="42" spans="1:9">
      <c r="A42" s="25">
        <v>8</v>
      </c>
      <c r="B42" s="26" t="s">
        <v>4</v>
      </c>
      <c r="C42">
        <v>2114</v>
      </c>
      <c r="D42" s="25">
        <v>8</v>
      </c>
      <c r="E42" s="26" t="s">
        <v>4</v>
      </c>
      <c r="F42">
        <v>2114</v>
      </c>
      <c r="G42" s="25">
        <v>8</v>
      </c>
      <c r="H42" s="26" t="s">
        <v>4</v>
      </c>
      <c r="I42">
        <v>2114</v>
      </c>
    </row>
    <row r="43" spans="1:9">
      <c r="A43" s="25">
        <v>8</v>
      </c>
      <c r="B43" s="26" t="s">
        <v>4</v>
      </c>
      <c r="C43">
        <v>2114</v>
      </c>
      <c r="D43" s="25">
        <v>8</v>
      </c>
      <c r="E43" s="26" t="s">
        <v>4</v>
      </c>
      <c r="F43">
        <v>2114</v>
      </c>
      <c r="G43" s="25">
        <v>8</v>
      </c>
      <c r="H43" s="26" t="s">
        <v>4</v>
      </c>
      <c r="I43">
        <v>2114</v>
      </c>
    </row>
    <row r="44" spans="1:9">
      <c r="A44" s="25">
        <v>8</v>
      </c>
      <c r="B44" s="26" t="s">
        <v>4</v>
      </c>
      <c r="C44">
        <v>2114</v>
      </c>
      <c r="D44" s="25">
        <v>8</v>
      </c>
      <c r="E44" s="26" t="s">
        <v>4</v>
      </c>
      <c r="F44">
        <v>2114</v>
      </c>
      <c r="G44" s="25">
        <v>8</v>
      </c>
      <c r="H44" s="26" t="s">
        <v>4</v>
      </c>
      <c r="I44">
        <v>2114</v>
      </c>
    </row>
    <row r="45" spans="1:9">
      <c r="A45" s="25">
        <v>10</v>
      </c>
      <c r="B45" s="26" t="s">
        <v>4</v>
      </c>
      <c r="C45">
        <v>2643</v>
      </c>
      <c r="D45" s="25">
        <v>8</v>
      </c>
      <c r="E45" s="26" t="s">
        <v>4</v>
      </c>
      <c r="F45">
        <v>2114</v>
      </c>
      <c r="G45" s="25">
        <v>8</v>
      </c>
      <c r="H45" s="26" t="s">
        <v>4</v>
      </c>
      <c r="I45">
        <v>2114</v>
      </c>
    </row>
    <row r="46" spans="1:9">
      <c r="A46" s="25">
        <v>12</v>
      </c>
      <c r="B46" s="26" t="s">
        <v>5</v>
      </c>
      <c r="C46">
        <v>6686</v>
      </c>
      <c r="D46" s="25">
        <v>8</v>
      </c>
      <c r="E46" s="26" t="s">
        <v>4</v>
      </c>
      <c r="F46">
        <v>2114</v>
      </c>
      <c r="G46" s="25">
        <v>8</v>
      </c>
      <c r="H46" s="26" t="s">
        <v>4</v>
      </c>
      <c r="I46">
        <v>2114</v>
      </c>
    </row>
    <row r="47" spans="1:9">
      <c r="A47" s="25">
        <v>12</v>
      </c>
      <c r="B47" s="26" t="s">
        <v>5</v>
      </c>
      <c r="C47">
        <v>6686</v>
      </c>
      <c r="D47" s="25">
        <v>8</v>
      </c>
      <c r="E47" s="26" t="s">
        <v>4</v>
      </c>
      <c r="F47">
        <v>2114</v>
      </c>
      <c r="G47" s="25">
        <v>8</v>
      </c>
      <c r="H47" s="26" t="s">
        <v>4</v>
      </c>
      <c r="I47">
        <v>2114</v>
      </c>
    </row>
    <row r="48" spans="1:9">
      <c r="A48" s="25">
        <v>12</v>
      </c>
      <c r="B48" s="26" t="s">
        <v>5</v>
      </c>
      <c r="C48">
        <v>6686</v>
      </c>
      <c r="D48" s="25">
        <v>8</v>
      </c>
      <c r="E48" s="26" t="s">
        <v>4</v>
      </c>
      <c r="F48">
        <v>2114</v>
      </c>
      <c r="G48" s="25">
        <v>8</v>
      </c>
      <c r="H48" s="26" t="s">
        <v>4</v>
      </c>
      <c r="I48">
        <v>2114</v>
      </c>
    </row>
    <row r="49" spans="1:9">
      <c r="A49" s="25">
        <v>12</v>
      </c>
      <c r="B49" s="26" t="s">
        <v>5</v>
      </c>
      <c r="C49">
        <v>6686</v>
      </c>
      <c r="D49" s="25">
        <v>8</v>
      </c>
      <c r="E49" s="26" t="s">
        <v>4</v>
      </c>
      <c r="F49">
        <v>2114</v>
      </c>
      <c r="G49" s="25">
        <v>8</v>
      </c>
      <c r="H49" s="26" t="s">
        <v>4</v>
      </c>
      <c r="I49">
        <v>2114</v>
      </c>
    </row>
    <row r="50" spans="1:9">
      <c r="A50" s="25">
        <v>12</v>
      </c>
      <c r="B50" s="26" t="s">
        <v>5</v>
      </c>
      <c r="C50">
        <v>6686</v>
      </c>
      <c r="D50" s="25">
        <v>8</v>
      </c>
      <c r="E50" s="26" t="s">
        <v>4</v>
      </c>
      <c r="F50">
        <v>2114</v>
      </c>
      <c r="G50" s="25">
        <v>8</v>
      </c>
      <c r="H50" s="26" t="s">
        <v>4</v>
      </c>
      <c r="I50">
        <v>2114</v>
      </c>
    </row>
    <row r="51" spans="1:9">
      <c r="A51" s="25">
        <v>12</v>
      </c>
      <c r="B51" s="26" t="s">
        <v>5</v>
      </c>
      <c r="C51">
        <v>6686</v>
      </c>
      <c r="D51" s="25">
        <v>8</v>
      </c>
      <c r="E51" s="26" t="s">
        <v>4</v>
      </c>
      <c r="F51">
        <v>2114</v>
      </c>
      <c r="G51" s="25">
        <v>8</v>
      </c>
      <c r="H51" s="26" t="s">
        <v>4</v>
      </c>
      <c r="I51">
        <v>2114</v>
      </c>
    </row>
    <row r="52" spans="1:9">
      <c r="A52" s="25">
        <v>12</v>
      </c>
      <c r="B52" s="26" t="s">
        <v>5</v>
      </c>
      <c r="C52">
        <v>6686</v>
      </c>
      <c r="D52" s="25">
        <v>8</v>
      </c>
      <c r="E52" s="26" t="s">
        <v>4</v>
      </c>
      <c r="F52">
        <v>2114</v>
      </c>
      <c r="G52" s="25">
        <v>10</v>
      </c>
      <c r="H52" s="26" t="s">
        <v>5</v>
      </c>
      <c r="I52">
        <v>6686</v>
      </c>
    </row>
    <row r="53" spans="1:9">
      <c r="A53" s="25">
        <v>12</v>
      </c>
      <c r="B53" s="26" t="s">
        <v>5</v>
      </c>
      <c r="C53">
        <v>6686</v>
      </c>
      <c r="D53" s="25">
        <v>8</v>
      </c>
      <c r="E53" s="26" t="s">
        <v>4</v>
      </c>
      <c r="F53">
        <v>2114</v>
      </c>
      <c r="G53" s="25">
        <v>10</v>
      </c>
      <c r="H53" s="26" t="s">
        <v>4</v>
      </c>
      <c r="I53">
        <v>2643</v>
      </c>
    </row>
    <row r="54" spans="1:9">
      <c r="A54" s="25">
        <v>12</v>
      </c>
      <c r="B54" s="26" t="s">
        <v>5</v>
      </c>
      <c r="C54">
        <v>6686</v>
      </c>
      <c r="D54" s="25">
        <v>10</v>
      </c>
      <c r="E54" s="26" t="s">
        <v>5</v>
      </c>
      <c r="F54">
        <v>6686</v>
      </c>
      <c r="G54" s="25">
        <v>10</v>
      </c>
      <c r="H54" s="26" t="s">
        <v>4</v>
      </c>
      <c r="I54">
        <v>2643</v>
      </c>
    </row>
    <row r="55" spans="1:9">
      <c r="A55" s="25">
        <v>12</v>
      </c>
      <c r="B55" s="26" t="s">
        <v>5</v>
      </c>
      <c r="C55">
        <v>6686</v>
      </c>
      <c r="D55" s="25">
        <v>10</v>
      </c>
      <c r="E55" s="26" t="s">
        <v>4</v>
      </c>
      <c r="F55">
        <v>2643</v>
      </c>
      <c r="G55" s="25">
        <v>10</v>
      </c>
      <c r="H55" s="26" t="s">
        <v>4</v>
      </c>
      <c r="I55">
        <v>2643</v>
      </c>
    </row>
    <row r="56" spans="1:9">
      <c r="A56" s="25">
        <v>12</v>
      </c>
      <c r="B56" s="26" t="s">
        <v>5</v>
      </c>
      <c r="C56">
        <v>6686</v>
      </c>
      <c r="D56" s="25">
        <v>10</v>
      </c>
      <c r="E56" s="26" t="s">
        <v>4</v>
      </c>
      <c r="F56">
        <v>2643</v>
      </c>
      <c r="G56" s="25">
        <v>12</v>
      </c>
      <c r="H56" s="26" t="s">
        <v>5</v>
      </c>
      <c r="I56">
        <v>6686</v>
      </c>
    </row>
    <row r="57" spans="1:9">
      <c r="A57" s="25">
        <v>12</v>
      </c>
      <c r="B57" s="26" t="s">
        <v>5</v>
      </c>
      <c r="C57">
        <v>6686</v>
      </c>
      <c r="D57" s="25">
        <v>10</v>
      </c>
      <c r="E57" s="26" t="s">
        <v>4</v>
      </c>
      <c r="F57">
        <v>2643</v>
      </c>
      <c r="G57" s="25">
        <v>12</v>
      </c>
      <c r="H57" s="26" t="s">
        <v>5</v>
      </c>
      <c r="I57">
        <v>6686</v>
      </c>
    </row>
    <row r="58" spans="1:9">
      <c r="A58" s="25">
        <v>12</v>
      </c>
      <c r="B58" s="26" t="s">
        <v>5</v>
      </c>
      <c r="C58">
        <v>6686</v>
      </c>
      <c r="D58" s="25">
        <v>12</v>
      </c>
      <c r="E58" s="26" t="s">
        <v>5</v>
      </c>
      <c r="F58">
        <v>6686</v>
      </c>
      <c r="G58" s="25">
        <v>12</v>
      </c>
      <c r="H58" s="26" t="s">
        <v>5</v>
      </c>
      <c r="I58">
        <v>6686</v>
      </c>
    </row>
    <row r="59" spans="1:9">
      <c r="A59" s="25">
        <v>12</v>
      </c>
      <c r="B59" s="26" t="s">
        <v>5</v>
      </c>
      <c r="C59">
        <v>6686</v>
      </c>
      <c r="D59" s="25">
        <v>12</v>
      </c>
      <c r="E59" s="26" t="s">
        <v>5</v>
      </c>
      <c r="F59">
        <v>6686</v>
      </c>
      <c r="G59" s="25">
        <v>12</v>
      </c>
      <c r="H59" s="26" t="s">
        <v>5</v>
      </c>
      <c r="I59">
        <v>6686</v>
      </c>
    </row>
    <row r="60" spans="1:9">
      <c r="A60" s="25">
        <v>12</v>
      </c>
      <c r="B60" s="26" t="s">
        <v>5</v>
      </c>
      <c r="C60">
        <v>6686</v>
      </c>
      <c r="D60" s="25">
        <v>12</v>
      </c>
      <c r="E60" s="26" t="s">
        <v>5</v>
      </c>
      <c r="F60">
        <v>6686</v>
      </c>
      <c r="G60" s="25">
        <v>12</v>
      </c>
      <c r="H60" s="26" t="s">
        <v>5</v>
      </c>
      <c r="I60">
        <v>6686</v>
      </c>
    </row>
    <row r="61" spans="1:9">
      <c r="A61" s="25">
        <v>12</v>
      </c>
      <c r="B61" s="26" t="s">
        <v>5</v>
      </c>
      <c r="C61">
        <v>6686</v>
      </c>
      <c r="D61" s="25">
        <v>12</v>
      </c>
      <c r="E61" s="26" t="s">
        <v>5</v>
      </c>
      <c r="F61">
        <v>6686</v>
      </c>
      <c r="G61" s="25">
        <v>12</v>
      </c>
      <c r="H61" s="26" t="s">
        <v>5</v>
      </c>
      <c r="I61">
        <v>6686</v>
      </c>
    </row>
    <row r="62" spans="1:9">
      <c r="A62" s="25">
        <v>12</v>
      </c>
      <c r="B62" s="26" t="s">
        <v>5</v>
      </c>
      <c r="C62">
        <v>6686</v>
      </c>
      <c r="D62" s="25">
        <v>12</v>
      </c>
      <c r="E62" s="26" t="s">
        <v>5</v>
      </c>
      <c r="F62">
        <v>6686</v>
      </c>
      <c r="G62" s="25">
        <v>12</v>
      </c>
      <c r="H62" s="26" t="s">
        <v>5</v>
      </c>
      <c r="I62">
        <v>6686</v>
      </c>
    </row>
    <row r="63" spans="1:9">
      <c r="A63" s="25">
        <v>12</v>
      </c>
      <c r="B63" s="26" t="s">
        <v>4</v>
      </c>
      <c r="C63">
        <v>2643</v>
      </c>
      <c r="D63" s="25">
        <v>12</v>
      </c>
      <c r="E63" s="26" t="s">
        <v>5</v>
      </c>
      <c r="F63">
        <v>6686</v>
      </c>
      <c r="G63" s="25">
        <v>12</v>
      </c>
      <c r="H63" s="26" t="s">
        <v>5</v>
      </c>
      <c r="I63">
        <v>6686</v>
      </c>
    </row>
    <row r="64" spans="1:9">
      <c r="A64" s="25">
        <v>12</v>
      </c>
      <c r="B64" s="26" t="s">
        <v>4</v>
      </c>
      <c r="C64">
        <v>2643</v>
      </c>
      <c r="D64" s="25">
        <v>12</v>
      </c>
      <c r="E64" s="26" t="s">
        <v>5</v>
      </c>
      <c r="F64">
        <v>6686</v>
      </c>
      <c r="G64" s="25">
        <v>12</v>
      </c>
      <c r="H64" s="26" t="s">
        <v>5</v>
      </c>
      <c r="I64">
        <v>6686</v>
      </c>
    </row>
    <row r="65" spans="1:9">
      <c r="A65" s="25">
        <v>12</v>
      </c>
      <c r="B65" s="26" t="s">
        <v>4</v>
      </c>
      <c r="C65">
        <v>2643</v>
      </c>
      <c r="D65" s="25">
        <v>12</v>
      </c>
      <c r="E65" s="26" t="s">
        <v>5</v>
      </c>
      <c r="F65">
        <v>6686</v>
      </c>
      <c r="G65" s="25">
        <v>12</v>
      </c>
      <c r="H65" s="26" t="s">
        <v>5</v>
      </c>
      <c r="I65">
        <v>6686</v>
      </c>
    </row>
    <row r="66" spans="1:9">
      <c r="A66" s="25">
        <v>12</v>
      </c>
      <c r="B66" s="26" t="s">
        <v>4</v>
      </c>
      <c r="C66">
        <v>2643</v>
      </c>
      <c r="D66" s="25">
        <v>12</v>
      </c>
      <c r="E66" s="26" t="s">
        <v>5</v>
      </c>
      <c r="F66">
        <v>6686</v>
      </c>
      <c r="G66" s="25">
        <v>12</v>
      </c>
      <c r="H66" s="26" t="s">
        <v>4</v>
      </c>
      <c r="I66">
        <v>2643</v>
      </c>
    </row>
    <row r="67" spans="1:9">
      <c r="A67" s="25">
        <v>12</v>
      </c>
      <c r="B67" s="26" t="s">
        <v>4</v>
      </c>
      <c r="C67">
        <v>2643</v>
      </c>
      <c r="D67" s="25">
        <v>12</v>
      </c>
      <c r="E67" s="26" t="s">
        <v>5</v>
      </c>
      <c r="F67">
        <v>6686</v>
      </c>
      <c r="G67" s="25">
        <v>12</v>
      </c>
      <c r="H67" s="26" t="s">
        <v>4</v>
      </c>
      <c r="I67">
        <v>2643</v>
      </c>
    </row>
    <row r="68" spans="1:9">
      <c r="A68" s="25">
        <v>12</v>
      </c>
      <c r="B68" s="26" t="s">
        <v>4</v>
      </c>
      <c r="C68">
        <v>2643</v>
      </c>
      <c r="D68" s="25">
        <v>12</v>
      </c>
      <c r="E68" s="26" t="s">
        <v>5</v>
      </c>
      <c r="F68">
        <v>6686</v>
      </c>
      <c r="G68" s="25">
        <v>12</v>
      </c>
      <c r="H68" s="26" t="s">
        <v>4</v>
      </c>
      <c r="I68">
        <v>2643</v>
      </c>
    </row>
    <row r="69" spans="1:9">
      <c r="A69" s="25">
        <v>12</v>
      </c>
      <c r="B69" s="26" t="s">
        <v>4</v>
      </c>
      <c r="C69">
        <v>2643</v>
      </c>
      <c r="D69" s="25">
        <v>12</v>
      </c>
      <c r="E69" s="26" t="s">
        <v>4</v>
      </c>
      <c r="F69">
        <v>2643</v>
      </c>
      <c r="G69" s="25">
        <v>12</v>
      </c>
      <c r="H69" s="26" t="s">
        <v>4</v>
      </c>
      <c r="I69">
        <v>2643</v>
      </c>
    </row>
    <row r="70" spans="1:9">
      <c r="A70" s="25">
        <v>12</v>
      </c>
      <c r="B70" s="26" t="s">
        <v>4</v>
      </c>
      <c r="C70">
        <v>2643</v>
      </c>
      <c r="D70" s="25">
        <v>12</v>
      </c>
      <c r="E70" s="26" t="s">
        <v>4</v>
      </c>
      <c r="F70">
        <v>2643</v>
      </c>
      <c r="G70" s="25">
        <v>12</v>
      </c>
      <c r="H70" s="26" t="s">
        <v>4</v>
      </c>
      <c r="I70">
        <v>2643</v>
      </c>
    </row>
    <row r="71" spans="1:9">
      <c r="A71" s="25">
        <v>12</v>
      </c>
      <c r="B71" s="26" t="s">
        <v>4</v>
      </c>
      <c r="C71">
        <v>2643</v>
      </c>
      <c r="D71" s="25">
        <v>12</v>
      </c>
      <c r="E71" s="26" t="s">
        <v>4</v>
      </c>
      <c r="F71">
        <v>2643</v>
      </c>
      <c r="G71" s="25">
        <v>12</v>
      </c>
      <c r="H71" s="26" t="s">
        <v>4</v>
      </c>
      <c r="I71">
        <v>2643</v>
      </c>
    </row>
    <row r="72" spans="1:9">
      <c r="A72" s="25">
        <v>12</v>
      </c>
      <c r="B72" s="26" t="s">
        <v>4</v>
      </c>
      <c r="C72">
        <v>2643</v>
      </c>
      <c r="D72" s="25">
        <v>12</v>
      </c>
      <c r="E72" s="26" t="s">
        <v>4</v>
      </c>
      <c r="F72">
        <v>2643</v>
      </c>
      <c r="G72" s="25">
        <v>12</v>
      </c>
      <c r="H72" s="26" t="s">
        <v>4</v>
      </c>
      <c r="I72">
        <v>2643</v>
      </c>
    </row>
    <row r="73" spans="1:9">
      <c r="A73" s="25">
        <v>12</v>
      </c>
      <c r="B73" s="26" t="s">
        <v>4</v>
      </c>
      <c r="C73">
        <v>2643</v>
      </c>
      <c r="D73" s="25">
        <v>12</v>
      </c>
      <c r="E73" s="26" t="s">
        <v>4</v>
      </c>
      <c r="F73">
        <v>2643</v>
      </c>
      <c r="G73" s="25">
        <v>12</v>
      </c>
      <c r="H73" s="26" t="s">
        <v>4</v>
      </c>
      <c r="I73">
        <v>2643</v>
      </c>
    </row>
    <row r="74" spans="1:9">
      <c r="A74" s="25">
        <v>12</v>
      </c>
      <c r="B74" s="26" t="s">
        <v>4</v>
      </c>
      <c r="C74">
        <v>2643</v>
      </c>
      <c r="D74" s="25">
        <v>12</v>
      </c>
      <c r="E74" s="26" t="s">
        <v>4</v>
      </c>
      <c r="F74">
        <v>2643</v>
      </c>
      <c r="G74" s="25">
        <v>12</v>
      </c>
      <c r="H74" s="26" t="s">
        <v>4</v>
      </c>
      <c r="I74">
        <v>2643</v>
      </c>
    </row>
    <row r="75" spans="1:9">
      <c r="A75" s="25">
        <v>12</v>
      </c>
      <c r="B75" s="26" t="s">
        <v>4</v>
      </c>
      <c r="C75">
        <v>2643</v>
      </c>
      <c r="D75" s="25">
        <v>12</v>
      </c>
      <c r="E75" s="26" t="s">
        <v>4</v>
      </c>
      <c r="F75">
        <v>2643</v>
      </c>
      <c r="G75" s="25">
        <v>12</v>
      </c>
      <c r="H75" s="26" t="s">
        <v>4</v>
      </c>
      <c r="I75">
        <v>2643</v>
      </c>
    </row>
    <row r="76" spans="1:9">
      <c r="A76" s="25">
        <v>12</v>
      </c>
      <c r="B76" s="26" t="s">
        <v>4</v>
      </c>
      <c r="C76">
        <v>2643</v>
      </c>
      <c r="D76" s="25">
        <v>12</v>
      </c>
      <c r="E76" s="26" t="s">
        <v>4</v>
      </c>
      <c r="F76">
        <v>2643</v>
      </c>
      <c r="G76" s="25">
        <v>12</v>
      </c>
      <c r="H76" s="26" t="s">
        <v>4</v>
      </c>
      <c r="I76">
        <v>2643</v>
      </c>
    </row>
    <row r="77" spans="1:9">
      <c r="A77" s="25">
        <v>12</v>
      </c>
      <c r="B77" s="26" t="s">
        <v>4</v>
      </c>
      <c r="C77">
        <v>2643</v>
      </c>
      <c r="D77" s="25">
        <v>12</v>
      </c>
      <c r="E77" s="26" t="s">
        <v>4</v>
      </c>
      <c r="F77">
        <v>2643</v>
      </c>
      <c r="G77" s="25">
        <v>12</v>
      </c>
      <c r="H77" s="26" t="s">
        <v>4</v>
      </c>
      <c r="I77">
        <v>2643</v>
      </c>
    </row>
    <row r="78" spans="1:9">
      <c r="A78" s="25">
        <v>12</v>
      </c>
      <c r="B78" s="26" t="s">
        <v>4</v>
      </c>
      <c r="C78">
        <v>2643</v>
      </c>
      <c r="D78" s="25">
        <v>12</v>
      </c>
      <c r="E78" s="26" t="s">
        <v>4</v>
      </c>
      <c r="F78">
        <v>2643</v>
      </c>
      <c r="G78" s="25">
        <v>12</v>
      </c>
      <c r="H78" s="26" t="s">
        <v>4</v>
      </c>
      <c r="I78">
        <v>2643</v>
      </c>
    </row>
    <row r="79" spans="1:9">
      <c r="A79" s="25">
        <v>12</v>
      </c>
      <c r="B79" s="26" t="s">
        <v>4</v>
      </c>
      <c r="C79">
        <v>2643</v>
      </c>
      <c r="D79" s="25">
        <v>12</v>
      </c>
      <c r="E79" s="26" t="s">
        <v>4</v>
      </c>
      <c r="F79">
        <v>2643</v>
      </c>
      <c r="G79" s="25">
        <v>12</v>
      </c>
      <c r="H79" s="26" t="s">
        <v>4</v>
      </c>
      <c r="I79">
        <v>2643</v>
      </c>
    </row>
    <row r="80" spans="1:9">
      <c r="A80" s="25">
        <v>12</v>
      </c>
      <c r="B80" s="26" t="s">
        <v>4</v>
      </c>
      <c r="C80">
        <v>2643</v>
      </c>
      <c r="D80" s="25">
        <v>12</v>
      </c>
      <c r="E80" s="26" t="s">
        <v>4</v>
      </c>
      <c r="F80">
        <v>2643</v>
      </c>
      <c r="G80" s="25">
        <v>12</v>
      </c>
      <c r="H80" s="26" t="s">
        <v>4</v>
      </c>
      <c r="I80">
        <v>2643</v>
      </c>
    </row>
    <row r="81" spans="1:9">
      <c r="A81" s="25">
        <v>12</v>
      </c>
      <c r="B81" s="26" t="s">
        <v>4</v>
      </c>
      <c r="C81">
        <v>2643</v>
      </c>
      <c r="D81" s="25">
        <v>12</v>
      </c>
      <c r="E81" s="26" t="s">
        <v>4</v>
      </c>
      <c r="F81">
        <v>2643</v>
      </c>
      <c r="G81" s="25">
        <v>12</v>
      </c>
      <c r="H81" s="26" t="s">
        <v>4</v>
      </c>
      <c r="I81">
        <v>2643</v>
      </c>
    </row>
    <row r="82" spans="1:9">
      <c r="A82" s="25">
        <v>12</v>
      </c>
      <c r="B82" s="26" t="s">
        <v>4</v>
      </c>
      <c r="C82">
        <v>2643</v>
      </c>
      <c r="D82" s="25">
        <v>12</v>
      </c>
      <c r="E82" s="26" t="s">
        <v>4</v>
      </c>
      <c r="F82">
        <v>2643</v>
      </c>
      <c r="G82" s="25">
        <v>12</v>
      </c>
      <c r="H82" s="26" t="s">
        <v>4</v>
      </c>
      <c r="I82">
        <v>2643</v>
      </c>
    </row>
    <row r="83" spans="1:9">
      <c r="A83" s="25">
        <v>12</v>
      </c>
      <c r="B83" s="26" t="s">
        <v>4</v>
      </c>
      <c r="C83">
        <v>2643</v>
      </c>
      <c r="D83" s="25">
        <v>12</v>
      </c>
      <c r="E83" s="26" t="s">
        <v>4</v>
      </c>
      <c r="F83">
        <v>2643</v>
      </c>
      <c r="G83" s="25">
        <v>12</v>
      </c>
      <c r="H83" s="26" t="s">
        <v>4</v>
      </c>
      <c r="I83">
        <v>2643</v>
      </c>
    </row>
    <row r="84" spans="1:9">
      <c r="A84" s="25">
        <v>12</v>
      </c>
      <c r="B84" s="26" t="s">
        <v>4</v>
      </c>
      <c r="C84">
        <v>2643</v>
      </c>
      <c r="D84" s="25">
        <v>12</v>
      </c>
      <c r="E84" s="26" t="s">
        <v>4</v>
      </c>
      <c r="F84">
        <v>2643</v>
      </c>
      <c r="G84" s="25">
        <v>12</v>
      </c>
      <c r="H84" s="26" t="s">
        <v>4</v>
      </c>
      <c r="I84">
        <v>2643</v>
      </c>
    </row>
    <row r="85" spans="1:9">
      <c r="A85" s="25">
        <v>12</v>
      </c>
      <c r="B85" s="26" t="s">
        <v>4</v>
      </c>
      <c r="C85">
        <v>2643</v>
      </c>
      <c r="D85" s="25">
        <v>12</v>
      </c>
      <c r="E85" s="26" t="s">
        <v>4</v>
      </c>
      <c r="F85">
        <v>2643</v>
      </c>
      <c r="G85" s="25">
        <v>12</v>
      </c>
      <c r="H85" s="26" t="s">
        <v>4</v>
      </c>
      <c r="I85">
        <v>2643</v>
      </c>
    </row>
    <row r="86" spans="1:9">
      <c r="A86" s="25">
        <v>12</v>
      </c>
      <c r="B86" s="26" t="s">
        <v>4</v>
      </c>
      <c r="C86">
        <v>2643</v>
      </c>
      <c r="D86" s="25">
        <v>12</v>
      </c>
      <c r="E86" s="26" t="s">
        <v>4</v>
      </c>
      <c r="F86">
        <v>2643</v>
      </c>
      <c r="G86" s="25">
        <v>12</v>
      </c>
      <c r="H86" s="26" t="s">
        <v>4</v>
      </c>
      <c r="I86">
        <v>2643</v>
      </c>
    </row>
    <row r="87" spans="1:9">
      <c r="A87" s="25">
        <v>12</v>
      </c>
      <c r="B87" s="26" t="s">
        <v>4</v>
      </c>
      <c r="C87">
        <v>2643</v>
      </c>
      <c r="D87" s="25">
        <v>12</v>
      </c>
      <c r="E87" s="26" t="s">
        <v>4</v>
      </c>
      <c r="F87">
        <v>2643</v>
      </c>
      <c r="G87" s="25">
        <v>12</v>
      </c>
      <c r="H87" s="26" t="s">
        <v>4</v>
      </c>
      <c r="I87">
        <v>2643</v>
      </c>
    </row>
    <row r="88" spans="1:9">
      <c r="A88" s="25">
        <v>12</v>
      </c>
      <c r="B88" s="26" t="s">
        <v>4</v>
      </c>
      <c r="C88">
        <v>2643</v>
      </c>
      <c r="D88" s="25">
        <v>12</v>
      </c>
      <c r="E88" s="26" t="s">
        <v>4</v>
      </c>
      <c r="F88">
        <v>2643</v>
      </c>
      <c r="G88" s="25">
        <v>12</v>
      </c>
      <c r="H88" s="26" t="s">
        <v>4</v>
      </c>
      <c r="I88">
        <v>2643</v>
      </c>
    </row>
    <row r="89" spans="1:9">
      <c r="A89" s="25">
        <v>12</v>
      </c>
      <c r="B89" s="26" t="s">
        <v>4</v>
      </c>
      <c r="C89">
        <v>2643</v>
      </c>
      <c r="D89" s="25">
        <v>12</v>
      </c>
      <c r="E89" s="26" t="s">
        <v>4</v>
      </c>
      <c r="F89">
        <v>2643</v>
      </c>
      <c r="G89" s="25">
        <v>12</v>
      </c>
      <c r="H89" s="26" t="s">
        <v>4</v>
      </c>
      <c r="I89">
        <v>2643</v>
      </c>
    </row>
    <row r="90" spans="1:9">
      <c r="A90" s="25">
        <v>12</v>
      </c>
      <c r="B90" s="26" t="s">
        <v>4</v>
      </c>
      <c r="C90">
        <v>2643</v>
      </c>
      <c r="D90" s="25">
        <v>12</v>
      </c>
      <c r="E90" s="26" t="s">
        <v>4</v>
      </c>
      <c r="F90">
        <v>2643</v>
      </c>
      <c r="G90" s="25">
        <v>12</v>
      </c>
      <c r="H90" s="26" t="s">
        <v>4</v>
      </c>
      <c r="I90">
        <v>2643</v>
      </c>
    </row>
    <row r="91" spans="1:9">
      <c r="A91" s="25">
        <v>12</v>
      </c>
      <c r="B91" s="26" t="s">
        <v>4</v>
      </c>
      <c r="C91">
        <v>2643</v>
      </c>
      <c r="D91" s="25">
        <v>12</v>
      </c>
      <c r="E91" s="26" t="s">
        <v>4</v>
      </c>
      <c r="F91">
        <v>2643</v>
      </c>
      <c r="G91" s="25">
        <v>12</v>
      </c>
      <c r="H91" s="26" t="s">
        <v>4</v>
      </c>
      <c r="I91">
        <v>2643</v>
      </c>
    </row>
    <row r="92" spans="1:9">
      <c r="A92" s="25">
        <v>12</v>
      </c>
      <c r="B92" s="26" t="s">
        <v>4</v>
      </c>
      <c r="C92">
        <v>2643</v>
      </c>
      <c r="D92" s="25">
        <v>12</v>
      </c>
      <c r="E92" s="26" t="s">
        <v>4</v>
      </c>
      <c r="F92">
        <v>2643</v>
      </c>
      <c r="G92" s="25">
        <v>12</v>
      </c>
      <c r="H92" s="26" t="s">
        <v>4</v>
      </c>
      <c r="I92">
        <v>2643</v>
      </c>
    </row>
    <row r="93" spans="1:9">
      <c r="A93" s="25">
        <v>12</v>
      </c>
      <c r="B93" s="26" t="s">
        <v>4</v>
      </c>
      <c r="C93">
        <v>2643</v>
      </c>
      <c r="D93" s="25">
        <v>12</v>
      </c>
      <c r="E93" s="26" t="s">
        <v>4</v>
      </c>
      <c r="F93">
        <v>2643</v>
      </c>
      <c r="G93" s="25">
        <v>12</v>
      </c>
      <c r="H93" s="26" t="s">
        <v>4</v>
      </c>
      <c r="I93">
        <v>2643</v>
      </c>
    </row>
    <row r="94" spans="1:9">
      <c r="A94" s="25">
        <v>12</v>
      </c>
      <c r="B94" s="26" t="s">
        <v>4</v>
      </c>
      <c r="C94">
        <v>2643</v>
      </c>
      <c r="D94" s="25">
        <v>12</v>
      </c>
      <c r="E94" s="26" t="s">
        <v>4</v>
      </c>
      <c r="F94">
        <v>2643</v>
      </c>
      <c r="G94" s="25">
        <v>12</v>
      </c>
      <c r="H94" s="26" t="s">
        <v>4</v>
      </c>
      <c r="I94">
        <v>2643</v>
      </c>
    </row>
    <row r="95" spans="1:9">
      <c r="A95" s="25">
        <v>12</v>
      </c>
      <c r="B95" s="26" t="s">
        <v>4</v>
      </c>
      <c r="C95">
        <v>2643</v>
      </c>
      <c r="D95" s="25">
        <v>12</v>
      </c>
      <c r="E95" s="26" t="s">
        <v>4</v>
      </c>
      <c r="F95">
        <v>2643</v>
      </c>
      <c r="G95" s="25">
        <v>14</v>
      </c>
      <c r="H95" s="26" t="s">
        <v>4</v>
      </c>
      <c r="I95">
        <v>2643</v>
      </c>
    </row>
    <row r="96" spans="1:9">
      <c r="A96" s="25">
        <v>12</v>
      </c>
      <c r="B96" s="26" t="s">
        <v>4</v>
      </c>
      <c r="C96">
        <v>2643</v>
      </c>
      <c r="D96" s="25">
        <v>12</v>
      </c>
      <c r="E96" s="26" t="s">
        <v>4</v>
      </c>
      <c r="F96">
        <v>2643</v>
      </c>
      <c r="G96" s="25">
        <v>14</v>
      </c>
      <c r="H96" s="26" t="s">
        <v>4</v>
      </c>
      <c r="I96">
        <v>2643</v>
      </c>
    </row>
    <row r="97" spans="1:9">
      <c r="A97" s="25">
        <v>12</v>
      </c>
      <c r="B97" s="26" t="s">
        <v>4</v>
      </c>
      <c r="C97">
        <v>2643</v>
      </c>
      <c r="D97" s="25">
        <v>12</v>
      </c>
      <c r="E97" s="26" t="s">
        <v>4</v>
      </c>
      <c r="F97">
        <v>2643</v>
      </c>
      <c r="G97" s="28">
        <v>16</v>
      </c>
      <c r="H97" s="27" t="s">
        <v>4</v>
      </c>
      <c r="I97">
        <v>2643</v>
      </c>
    </row>
    <row r="98" spans="1:9">
      <c r="A98" s="25">
        <v>12</v>
      </c>
      <c r="B98" s="26" t="s">
        <v>4</v>
      </c>
      <c r="C98">
        <v>2643</v>
      </c>
      <c r="D98" s="25">
        <v>12</v>
      </c>
      <c r="E98" s="26" t="s">
        <v>4</v>
      </c>
      <c r="F98">
        <v>2643</v>
      </c>
    </row>
    <row r="99" spans="1:9">
      <c r="A99" s="25">
        <v>12</v>
      </c>
      <c r="B99" s="26" t="s">
        <v>4</v>
      </c>
      <c r="C99">
        <v>2643</v>
      </c>
      <c r="D99" s="25">
        <v>12</v>
      </c>
      <c r="E99" s="26" t="s">
        <v>4</v>
      </c>
      <c r="F99">
        <v>2643</v>
      </c>
      <c r="H99" s="27" t="s">
        <v>14</v>
      </c>
      <c r="I99">
        <f>SUM(I13:I98)</f>
        <v>237627</v>
      </c>
    </row>
    <row r="100" spans="1:9">
      <c r="A100" s="25">
        <v>12</v>
      </c>
      <c r="B100" s="26" t="s">
        <v>4</v>
      </c>
      <c r="C100">
        <v>2643</v>
      </c>
      <c r="D100" s="25">
        <v>14</v>
      </c>
      <c r="E100" s="26" t="s">
        <v>4</v>
      </c>
      <c r="F100">
        <v>2643</v>
      </c>
    </row>
    <row r="101" spans="1:9">
      <c r="A101" s="25">
        <v>14</v>
      </c>
      <c r="B101" s="26" t="s">
        <v>4</v>
      </c>
      <c r="C101">
        <v>2643</v>
      </c>
      <c r="D101" s="28">
        <v>4</v>
      </c>
      <c r="E101" s="27" t="s">
        <v>4</v>
      </c>
      <c r="F101">
        <v>1057</v>
      </c>
      <c r="H101" t="s">
        <v>97</v>
      </c>
      <c r="I101">
        <f>C108+F104+I99</f>
        <v>781572</v>
      </c>
    </row>
    <row r="102" spans="1:9">
      <c r="A102" s="25">
        <v>16</v>
      </c>
      <c r="B102" s="26" t="s">
        <v>4</v>
      </c>
      <c r="C102">
        <v>2643</v>
      </c>
      <c r="D102" s="28">
        <v>4</v>
      </c>
      <c r="E102" s="27" t="s">
        <v>4</v>
      </c>
      <c r="F102">
        <v>1057</v>
      </c>
    </row>
    <row r="103" spans="1:9">
      <c r="A103" s="25">
        <v>16</v>
      </c>
      <c r="B103" s="26" t="s">
        <v>4</v>
      </c>
      <c r="C103">
        <v>2643</v>
      </c>
      <c r="D103" s="28">
        <v>4</v>
      </c>
      <c r="E103" s="27" t="s">
        <v>4</v>
      </c>
      <c r="F103">
        <v>1057</v>
      </c>
    </row>
    <row r="104" spans="1:9">
      <c r="A104" s="28">
        <v>4</v>
      </c>
      <c r="B104" s="27" t="s">
        <v>4</v>
      </c>
      <c r="C104">
        <v>1057</v>
      </c>
      <c r="E104" s="27" t="s">
        <v>14</v>
      </c>
      <c r="F104">
        <f>SUM(F13:F103)</f>
        <v>252242</v>
      </c>
    </row>
    <row r="105" spans="1:9">
      <c r="A105" s="28">
        <v>4</v>
      </c>
      <c r="B105" s="27" t="s">
        <v>4</v>
      </c>
      <c r="C105">
        <v>1057</v>
      </c>
    </row>
    <row r="106" spans="1:9">
      <c r="A106" s="28">
        <v>4</v>
      </c>
      <c r="B106" s="27" t="s">
        <v>4</v>
      </c>
      <c r="C106">
        <v>1057</v>
      </c>
    </row>
    <row r="107" spans="1:9">
      <c r="A107" s="28">
        <v>6</v>
      </c>
      <c r="B107" s="27" t="s">
        <v>5</v>
      </c>
      <c r="C107">
        <v>4012</v>
      </c>
    </row>
    <row r="108" spans="1:9">
      <c r="B108" s="27" t="s">
        <v>14</v>
      </c>
      <c r="C108">
        <f>SUM(C13:C107)</f>
        <v>291703</v>
      </c>
    </row>
  </sheetData>
  <sortState ref="G13:H97">
    <sortCondition ref="G13:G97"/>
    <sortCondition ref="H13:H97"/>
  </sortState>
  <phoneticPr fontId="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zoomScaleNormal="100" workbookViewId="0">
      <selection sqref="A1:B9"/>
    </sheetView>
  </sheetViews>
  <sheetFormatPr defaultRowHeight="15"/>
  <cols>
    <col min="1" max="1" width="22.140625" bestFit="1" customWidth="1"/>
  </cols>
  <sheetData>
    <row r="1" spans="1:2">
      <c r="A1" t="s">
        <v>15</v>
      </c>
      <c r="B1">
        <v>75000</v>
      </c>
    </row>
    <row r="3" spans="1:2">
      <c r="A3" t="s">
        <v>16</v>
      </c>
      <c r="B3">
        <f>2066+2908+3701</f>
        <v>8675</v>
      </c>
    </row>
    <row r="5" spans="1:2">
      <c r="A5" t="s">
        <v>17</v>
      </c>
      <c r="B5">
        <v>2643</v>
      </c>
    </row>
    <row r="7" spans="1:2">
      <c r="A7" t="s">
        <v>18</v>
      </c>
      <c r="B7">
        <f>4667+5319</f>
        <v>9986</v>
      </c>
    </row>
    <row r="9" spans="1:2">
      <c r="A9" t="s">
        <v>19</v>
      </c>
      <c r="B9">
        <f>SUM(B1:B7)</f>
        <v>96304</v>
      </c>
    </row>
  </sheetData>
  <phoneticPr fontId="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sqref="A1:C8"/>
    </sheetView>
  </sheetViews>
  <sheetFormatPr defaultRowHeight="15"/>
  <cols>
    <col min="1" max="1" width="16.85546875" bestFit="1" customWidth="1"/>
    <col min="2" max="2" width="10" bestFit="1" customWidth="1"/>
  </cols>
  <sheetData>
    <row r="1" spans="1:3">
      <c r="A1" t="s">
        <v>79</v>
      </c>
      <c r="B1">
        <f>1785*20</f>
        <v>35700</v>
      </c>
      <c r="C1" t="s">
        <v>81</v>
      </c>
    </row>
    <row r="2" spans="1:3">
      <c r="A2" t="s">
        <v>29</v>
      </c>
      <c r="B2">
        <f>124931+(8329*5)</f>
        <v>166576</v>
      </c>
      <c r="C2" t="s">
        <v>80</v>
      </c>
    </row>
    <row r="3" spans="1:3">
      <c r="A3" t="s">
        <v>83</v>
      </c>
      <c r="B3">
        <f>72900+(5334*5)</f>
        <v>99570</v>
      </c>
      <c r="C3" t="s">
        <v>85</v>
      </c>
    </row>
    <row r="4" spans="1:3">
      <c r="A4" t="s">
        <v>84</v>
      </c>
      <c r="B4">
        <f>35132+(3259*5)</f>
        <v>51427</v>
      </c>
      <c r="C4" t="s">
        <v>86</v>
      </c>
    </row>
    <row r="5" spans="1:3">
      <c r="B5">
        <f>2-439+19049+1345+39634+((1406+1301+89+2125)*5)</f>
        <v>84196</v>
      </c>
      <c r="C5" t="s">
        <v>87</v>
      </c>
    </row>
    <row r="6" spans="1:3">
      <c r="A6">
        <v>25102</v>
      </c>
      <c r="B6">
        <v>8910</v>
      </c>
    </row>
    <row r="7" spans="1:3">
      <c r="A7" s="8">
        <v>25101</v>
      </c>
      <c r="B7" s="8">
        <v>92251</v>
      </c>
      <c r="C7" t="s">
        <v>78</v>
      </c>
    </row>
    <row r="8" spans="1:3">
      <c r="A8" t="s">
        <v>31</v>
      </c>
      <c r="B8">
        <f>SUM(B2:B7)</f>
        <v>502930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Summary</vt:lpstr>
      <vt:lpstr>FY 11 costs</vt:lpstr>
      <vt:lpstr>FY12 credits</vt:lpstr>
      <vt:lpstr>FY12 waivers</vt:lpstr>
      <vt:lpstr>FY12 costs</vt:lpstr>
      <vt:lpstr>FTE</vt:lpstr>
      <vt:lpstr>FY13 credits</vt:lpstr>
      <vt:lpstr>FY13 waivers</vt:lpstr>
      <vt:lpstr>FY13 costs</vt:lpstr>
      <vt:lpstr>FY14 waivers</vt:lpstr>
      <vt:lpstr>FY14 costs</vt:lpstr>
      <vt:lpstr>FY14 credits</vt:lpstr>
      <vt:lpstr>to print</vt:lpstr>
      <vt:lpstr>Summary!Print_Area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cp:lastPrinted>2013-05-01T01:25:34Z</cp:lastPrinted>
  <dcterms:created xsi:type="dcterms:W3CDTF">2012-05-16T17:34:17Z</dcterms:created>
  <dcterms:modified xsi:type="dcterms:W3CDTF">2013-10-23T21:40:49Z</dcterms:modified>
</cp:coreProperties>
</file>