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0" windowWidth="25320" windowHeight="6570" activeTab="2"/>
  </bookViews>
  <sheets>
    <sheet name="25101" sheetId="1" r:id="rId1"/>
    <sheet name="FINAL 25102" sheetId="2" r:id="rId2"/>
    <sheet name="work study" sheetId="3" r:id="rId3"/>
    <sheet name="for faculty" sheetId="4" r:id="rId4"/>
    <sheet name="final 25101" sheetId="6" r:id="rId5"/>
    <sheet name="25101 7.23.12" sheetId="7" r:id="rId6"/>
  </sheets>
  <definedNames>
    <definedName name="_xlnm.Print_Titles" localSheetId="0">'25101'!$28:$28</definedName>
    <definedName name="_xlnm.Print_Titles" localSheetId="3">'for faculty'!$5:$5</definedName>
  </definedNames>
  <calcPr calcId="125725"/>
</workbook>
</file>

<file path=xl/calcChain.xml><?xml version="1.0" encoding="utf-8"?>
<calcChain xmlns="http://schemas.openxmlformats.org/spreadsheetml/2006/main">
  <c r="H25" i="3"/>
  <c r="E15"/>
  <c r="C30"/>
  <c r="C29"/>
  <c r="G16"/>
  <c r="C28" i="7"/>
  <c r="L36"/>
  <c r="L45"/>
  <c r="C27" s="1"/>
  <c r="C48" l="1"/>
  <c r="C44"/>
  <c r="C40"/>
  <c r="C25"/>
  <c r="C33" s="1"/>
  <c r="C22"/>
  <c r="C17"/>
  <c r="B17"/>
  <c r="B50" s="1"/>
  <c r="C11"/>
  <c r="C12" s="1"/>
  <c r="D12" s="1"/>
  <c r="H12" i="3"/>
  <c r="F12"/>
  <c r="G12" s="1"/>
  <c r="H26" s="1"/>
  <c r="E12"/>
  <c r="E13"/>
  <c r="E14"/>
  <c r="H16"/>
  <c r="C21" i="2"/>
  <c r="C50" i="6"/>
  <c r="C46"/>
  <c r="C42"/>
  <c r="C27"/>
  <c r="C35" s="1"/>
  <c r="C24"/>
  <c r="C19"/>
  <c r="B19"/>
  <c r="B52" s="1"/>
  <c r="C13"/>
  <c r="C14" s="1"/>
  <c r="B9"/>
  <c r="D17" i="7" l="1"/>
  <c r="C50"/>
  <c r="D50" s="1"/>
  <c r="C49"/>
  <c r="D49" s="1"/>
  <c r="C51" i="6"/>
  <c r="C52"/>
  <c r="C54" s="1"/>
  <c r="C53" i="4" l="1"/>
  <c r="C49"/>
  <c r="C43"/>
  <c r="C28"/>
  <c r="C36" s="1"/>
  <c r="C25"/>
  <c r="B55"/>
  <c r="C20"/>
  <c r="C14"/>
  <c r="C15" s="1"/>
  <c r="C11" i="2"/>
  <c r="C26"/>
  <c r="C28" s="1"/>
  <c r="C17"/>
  <c r="C55" i="4" l="1"/>
  <c r="C57" s="1"/>
  <c r="C30" i="2" l="1"/>
  <c r="E74" i="1"/>
  <c r="E70"/>
  <c r="E66"/>
  <c r="F14" i="3"/>
  <c r="H14" s="1"/>
  <c r="E51" i="1"/>
  <c r="E59" s="1"/>
  <c r="E37"/>
  <c r="F15" i="3"/>
  <c r="F13"/>
  <c r="H13" s="1"/>
  <c r="E11"/>
  <c r="F11" s="1"/>
  <c r="G11" s="1"/>
  <c r="E48" i="1"/>
  <c r="B6" i="3"/>
  <c r="B7"/>
  <c r="G18" l="1"/>
  <c r="C58" i="1"/>
  <c r="C55"/>
  <c r="H11" i="3" l="1"/>
  <c r="C37" i="1"/>
  <c r="C70"/>
  <c r="C57"/>
  <c r="C72"/>
  <c r="C74" s="1"/>
  <c r="C53"/>
  <c r="C56"/>
  <c r="C62"/>
  <c r="C66" s="1"/>
  <c r="C52"/>
  <c r="C46"/>
  <c r="E38"/>
  <c r="E76" s="1"/>
  <c r="E43"/>
  <c r="B44"/>
  <c r="C43"/>
  <c r="D43" s="1"/>
  <c r="C38"/>
  <c r="D38" s="1"/>
  <c r="C48" l="1"/>
  <c r="B76"/>
  <c r="C59"/>
  <c r="C76" s="1"/>
  <c r="D74" l="1"/>
  <c r="D76"/>
  <c r="E78"/>
  <c r="H15" i="3"/>
  <c r="H18" s="1"/>
</calcChain>
</file>

<file path=xl/comments1.xml><?xml version="1.0" encoding="utf-8"?>
<comments xmlns="http://schemas.openxmlformats.org/spreadsheetml/2006/main">
  <authors>
    <author>wootang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wootang:</t>
        </r>
        <r>
          <rPr>
            <sz val="8"/>
            <color indexed="81"/>
            <rFont val="Tahoma"/>
            <family val="2"/>
          </rPr>
          <t xml:space="preserve">
weber $100 tabling; Walley $400 newsletter
</t>
        </r>
      </text>
    </comment>
  </commentList>
</comments>
</file>

<file path=xl/sharedStrings.xml><?xml version="1.0" encoding="utf-8"?>
<sst xmlns="http://schemas.openxmlformats.org/spreadsheetml/2006/main" count="420" uniqueCount="200">
  <si>
    <t>Budget 12-13</t>
  </si>
  <si>
    <t>25101 - MES Support</t>
  </si>
  <si>
    <t>Salaries and Wages</t>
  </si>
  <si>
    <t>Benefits</t>
  </si>
  <si>
    <t>Photo and Reproduction Supplies</t>
  </si>
  <si>
    <t>Postage</t>
  </si>
  <si>
    <t>TOTALS</t>
  </si>
  <si>
    <t>work/study - $10,000</t>
  </si>
  <si>
    <t>&lt;--what we'd have to pay</t>
  </si>
  <si>
    <t>Graduation</t>
  </si>
  <si>
    <t>Telephone - Office</t>
  </si>
  <si>
    <t>TEDx (t-shirts, advertising)</t>
  </si>
  <si>
    <t>NCSE membership</t>
  </si>
  <si>
    <t>NAGAP membership</t>
  </si>
  <si>
    <t>Rachel Carson Forum Support</t>
  </si>
  <si>
    <t>orientation photos and one day of action photos</t>
  </si>
  <si>
    <t>why are we paying for this?</t>
  </si>
  <si>
    <t xml:space="preserve">Print Advertising </t>
  </si>
  <si>
    <t>Web Advertising</t>
  </si>
  <si>
    <t>PR Printing</t>
  </si>
  <si>
    <t>Fair and Event Fees (incl NCSE tabling)</t>
  </si>
  <si>
    <t>misc.</t>
  </si>
  <si>
    <t>NOTES</t>
  </si>
  <si>
    <t>Other Expenses</t>
  </si>
  <si>
    <t>mostly food costs</t>
  </si>
  <si>
    <t>food, facilities, media, printing, speaker</t>
  </si>
  <si>
    <t>Orientation (including Tuesday welcome)</t>
  </si>
  <si>
    <t>Campus Events</t>
  </si>
  <si>
    <t>Recruitment</t>
  </si>
  <si>
    <t>Travel costs</t>
  </si>
  <si>
    <t>Office</t>
  </si>
  <si>
    <t>Computer Hardware/Software</t>
  </si>
  <si>
    <t>Newsletter (copies - $500 ea)</t>
  </si>
  <si>
    <t>Professional Membership</t>
  </si>
  <si>
    <t>Student Events</t>
  </si>
  <si>
    <t>Communications Work Study</t>
  </si>
  <si>
    <t>Assistant Director</t>
  </si>
  <si>
    <t>Internships/Scholarships Coordinator</t>
  </si>
  <si>
    <t>AD benefits</t>
  </si>
  <si>
    <t>Coordinator benefits</t>
  </si>
  <si>
    <t>Recruitment Assistant Temporary</t>
  </si>
  <si>
    <t>Office Assistant Work Study</t>
  </si>
  <si>
    <t>Office Assistant non work study</t>
  </si>
  <si>
    <t>$12/hr 12-13 (office asst); $13/hr 13-14 (recruit asst)</t>
  </si>
  <si>
    <t>office assistant - no in-person recruitment</t>
  </si>
  <si>
    <t>recruitment assistant - more in-person recruitment</t>
  </si>
  <si>
    <t>equal to office asst 1  (.5 FTE)</t>
  </si>
  <si>
    <t>SUBTOTAL</t>
  </si>
  <si>
    <t>DIFFERENCE B/W FY13/FY12</t>
  </si>
  <si>
    <t>FY12 allocation</t>
  </si>
  <si>
    <t>FY12 spent</t>
  </si>
  <si>
    <t>FY12 remainder</t>
  </si>
  <si>
    <t>FY13 proposed</t>
  </si>
  <si>
    <t>Heather for part of fall since she won't be taking credits ($13/hr starting June 1)</t>
  </si>
  <si>
    <t>facebook/twitter/newsletter $11/hr (10 hr/week)</t>
  </si>
  <si>
    <t>per hour</t>
  </si>
  <si>
    <t>total hours</t>
  </si>
  <si>
    <t>total pay</t>
  </si>
  <si>
    <t>work/study</t>
  </si>
  <si>
    <t>mes</t>
  </si>
  <si>
    <t>total</t>
  </si>
  <si>
    <t>last few weeks of June</t>
  </si>
  <si>
    <t>Recruitment Assistant non work study</t>
  </si>
  <si>
    <t>Heather for mid June through late Sept</t>
  </si>
  <si>
    <t>Ambassador lunches/coffee</t>
  </si>
  <si>
    <t>$150/qtr to take people to lunch, etc</t>
  </si>
  <si>
    <t>includes ambassador travel</t>
  </si>
  <si>
    <t>1213 -$1200 stipends for up to 5 ambassadors</t>
  </si>
  <si>
    <t>MES Ambassador</t>
  </si>
  <si>
    <t>Student FICA (temp employment)</t>
  </si>
  <si>
    <t>Buffer for unexpected costs</t>
  </si>
  <si>
    <t>(expecting 86,000 more in 12/13</t>
  </si>
  <si>
    <t>peace corps, chinook book</t>
  </si>
  <si>
    <t>includes facilities labor for office work</t>
  </si>
  <si>
    <t>surveymonkey - share w/MPA</t>
  </si>
  <si>
    <t>Office Supplies - include cell, envelopes, bus cards, paper</t>
  </si>
  <si>
    <t>NCSE conference travel</t>
  </si>
  <si>
    <t>for Director + AD (1112 only included AD)</t>
  </si>
  <si>
    <t>NAGAP conference and travel</t>
  </si>
  <si>
    <t>Office Supplies</t>
  </si>
  <si>
    <t>Field Trips</t>
  </si>
  <si>
    <t>Student Support</t>
  </si>
  <si>
    <t>Conferences</t>
  </si>
  <si>
    <t>Confor (or similar) for 10 students</t>
  </si>
  <si>
    <t>Curriculum</t>
  </si>
  <si>
    <t>Miscelleneous</t>
  </si>
  <si>
    <t>Instructional Supplies</t>
  </si>
  <si>
    <t>Speakers</t>
  </si>
  <si>
    <t>Buffer</t>
  </si>
  <si>
    <t>Copies and Printing</t>
  </si>
  <si>
    <t>(expecting 86,000 more in revenue in 12/13)</t>
  </si>
  <si>
    <t>cell, envelopes, bus cards, letterhead</t>
  </si>
  <si>
    <t>Heather for part of fall  ($13/hr starting June 1)</t>
  </si>
  <si>
    <t>zinch, petersons, gradschools, gradschoolguide, newsletter</t>
  </si>
  <si>
    <t>FY13 vs FY12</t>
  </si>
  <si>
    <t>.5 FTE equal to office asst 1 (this number is probably low)</t>
  </si>
  <si>
    <t>last few weeks of June 2013</t>
  </si>
  <si>
    <t>The MES Support budget covers all wages and benefits for professional student staff, except for the director.  It also includes expenses as it relates</t>
  </si>
  <si>
    <t xml:space="preserve">to recruitment and retention of students, namely through travel to graduate conferences and advertising.  Events such as orientation </t>
  </si>
  <si>
    <t>and the hooding ceremony are also covered by this budget. General office supplies needed for day-to-day operation are included, as well.</t>
  </si>
  <si>
    <t xml:space="preserve">Historically, the salaries/benefits allocation has gone up as the professional staff salary has increased, and the rest of the budget used for recruitment </t>
  </si>
  <si>
    <t>and retention has stayed the same with some roll forward added every year.  In 09-10, the amount for R &amp; R was reduced $2400 from $15,160</t>
  </si>
  <si>
    <t xml:space="preserve">to $12,760.  This amount is equivalent to 5 quarters of resident tuition for an MES student in 2011-12.  In contrast, the MES program had </t>
  </si>
  <si>
    <t xml:space="preserve">approximately 84 FTE in Fall 2011, some of whom were nonresidents.  Clearly, the amount of tuition earned during that quarter far exceeded the MES Support </t>
  </si>
  <si>
    <t xml:space="preserve">as it helps illustrate the low amounts with which we are working.  Below is the Graduate Program on the Environment's 2012-2013 budget request. </t>
  </si>
  <si>
    <t xml:space="preserve">Note that recruitment funding has increased substantially as our need for more nonresidents continues to climb.  </t>
  </si>
  <si>
    <t xml:space="preserve">to aid in internships/funding, recruitment, and communications.  The idea behind these increases are that it will increase higher nonresident </t>
  </si>
  <si>
    <t xml:space="preserve">budget for the entire fiscal year. Throughout this budget request, some amounts will be quantified in terms of student tuition amounts, </t>
  </si>
  <si>
    <t>facebook/twitter/newsletter $13/hr (10 hr/week)</t>
  </si>
  <si>
    <t>In addition, in order for the program to improve R &amp; R we have designed two student positions (some work/study) and one professional position</t>
  </si>
  <si>
    <t>12/13 -$1200 stipends ($400/qtr) for up to 5 ambassadors</t>
  </si>
  <si>
    <t>equal to office asst 1  (.5 FTE) - low estimate</t>
  </si>
  <si>
    <t>.5 FTE equal to office asst 1 (low estimate)</t>
  </si>
  <si>
    <t>estimate - only for non-work study students</t>
  </si>
  <si>
    <t xml:space="preserve">applications, as well as contribute to a greater yield of nonresident enrollments. For example, one company we plan to work with has estimated we could receive </t>
  </si>
  <si>
    <t xml:space="preserve">25 nonresident applications (for Fall '13) with a $5000 investment (.75 resident). The amount we are asking for in recruitment alone is equal to </t>
  </si>
  <si>
    <t xml:space="preserve">If we were to do that for Fall '12 (13 students), we would bring in almost $261,000 or 30% of total incoming student tuition for 12-13.  </t>
  </si>
  <si>
    <t>zinch, petersons, gradschools, gradschoolguide, americorps and rpcv newsletter, GRE lists</t>
  </si>
  <si>
    <t>Web Advertising/Name Purchasing</t>
  </si>
  <si>
    <t>it is imperative that this budget be seriously considered.  It is clear that other offices on campus do not include graduate school needs in their budgets, so</t>
  </si>
  <si>
    <t>graduate recruitment association</t>
  </si>
  <si>
    <t>food and challenge course (estimate)</t>
  </si>
  <si>
    <t xml:space="preserve">1.5 nonresident students (12/13) and the wage/benefit increase due to new staff is about $31,000 or approximately 1.5 nonresident students. </t>
  </si>
  <si>
    <t xml:space="preserve">Overall, the entire 12-13 budget proposes an approximate increase of a bit over $61,000 or about 3 nonresidents. The entire request is </t>
  </si>
  <si>
    <t xml:space="preserve">about the cost of 8 nonresidents. For that low price, we hope to increase nonresident yield for Fall '13 to at least 50% (our average is 37%), </t>
  </si>
  <si>
    <t xml:space="preserve">We'd have to admit 33 residents to reach that number. Finally, when comparing the total 12-13 budget to our estimated total revenue of $700,246, you will see an ROI of 350%. </t>
  </si>
  <si>
    <t xml:space="preserve">only an increase of 3 nonresidents) can go a long way. Because services on campus are geared toward undergraduates (everything from food service to marketing), </t>
  </si>
  <si>
    <t xml:space="preserve"> Of course, this doesn't include any other costs like faculty salaries, but it demonstrates how much a small amount of funds (remember,  </t>
  </si>
  <si>
    <t>providing support directly to MES will allow the program to provide services for students and prospective students that otherwise are not currently delivered or maintained</t>
  </si>
  <si>
    <t>(expecting 86,000 more revenue in 12/13)</t>
  </si>
  <si>
    <t>OTHER EXPENSES SUBTOTAL</t>
  </si>
  <si>
    <t>n/a</t>
  </si>
  <si>
    <t>MES Ambassadors</t>
  </si>
  <si>
    <t>n/a*</t>
  </si>
  <si>
    <t>*n/a exists because we did not sort our budget this way in 2011-2012.  The "Other Expenses Subtotal" at the bottom is correct</t>
  </si>
  <si>
    <t>GRAND TOTALS</t>
  </si>
  <si>
    <t>difference</t>
  </si>
  <si>
    <t>25101 - MES Support - Please see "MES Support Budget Request Narrative" for explanation of budget request</t>
  </si>
  <si>
    <t xml:space="preserve">Office Supplies - </t>
  </si>
  <si>
    <t>include cell, envelopes, bus cards, paper</t>
  </si>
  <si>
    <t>Heather for part of fall ($13/hr starting 6/1)</t>
  </si>
  <si>
    <t>zinch, petersons, gradschools, gsguide, newsletters, GRE lists</t>
  </si>
  <si>
    <t>25102 - MES Academic - Please see "MES Academic Budget Request Narrative" for explanation of budget request</t>
  </si>
  <si>
    <t>$1000 per quarter</t>
  </si>
  <si>
    <t>$400/qtr; videos, lab stores, office supplies</t>
  </si>
  <si>
    <t>$500/qtr</t>
  </si>
  <si>
    <t>Textbooks</t>
  </si>
  <si>
    <t>$300/qtr</t>
  </si>
  <si>
    <t>for Director + AD at NCSE and 2 CEDD meetings for director</t>
  </si>
  <si>
    <t>Thesis Research Funding</t>
  </si>
  <si>
    <t>typical allocation is $7400</t>
  </si>
  <si>
    <t>Thesis Refreshments at Presentations</t>
  </si>
  <si>
    <t>Graduate Program on the Environment - 12-13 Budget Request</t>
  </si>
  <si>
    <t>at 75/25 (FWS, EWS) that equals</t>
  </si>
  <si>
    <t>at 60/40 (SWS) that equals</t>
  </si>
  <si>
    <t>FWS is the only work study that can go toward nonresidents</t>
  </si>
  <si>
    <t>we will likely only be given FWS or EWS so use 75/25 ratio</t>
  </si>
  <si>
    <t>recruitment asst fall (9/16-10/19), 40 hour/week</t>
  </si>
  <si>
    <t>recruitment asst summer (7/1-8/31 - 19 hr/week; 9/1-9/15 - 40 hr/week)</t>
  </si>
  <si>
    <t>Office Assistant - student employee</t>
  </si>
  <si>
    <t>Recruitment Assistant (temp employee)</t>
  </si>
  <si>
    <t>Communications  Asst (student emp)</t>
  </si>
  <si>
    <t>Recruitment Assistant (student emp)</t>
  </si>
  <si>
    <t>Heather for 9/15 - late Oct ($13/hr)</t>
  </si>
  <si>
    <t>Heather for July 1 - Sept 15 ($13/hr)</t>
  </si>
  <si>
    <t>facebook/twitter/newsletter $12-$15/hr (15 hr/week)</t>
  </si>
  <si>
    <t>zinch</t>
  </si>
  <si>
    <t>petersons</t>
  </si>
  <si>
    <t>gradschools</t>
  </si>
  <si>
    <t>gradschoolguide</t>
  </si>
  <si>
    <t>americorps newsletter</t>
  </si>
  <si>
    <t>pc newsletter</t>
  </si>
  <si>
    <t>winds of change mag</t>
  </si>
  <si>
    <t>grist</t>
  </si>
  <si>
    <t>GRE search service</t>
  </si>
  <si>
    <t>chinook (13/14)</t>
  </si>
  <si>
    <t>pc magazine (13/14)</t>
  </si>
  <si>
    <t>mother jones mag (fall 2013)</t>
  </si>
  <si>
    <t>Seattle Weekly education, best of, or green</t>
  </si>
  <si>
    <t>Oly Power and Light - 6 half pages</t>
  </si>
  <si>
    <t>&lt;--add'l total budget (expecting $86k more revenue in 12/13)</t>
  </si>
  <si>
    <t>Quant Methods Teaching Assts</t>
  </si>
  <si>
    <t>190 hours each at $13/hour</t>
  </si>
  <si>
    <t>peace corps, chinook book, mother jones</t>
  </si>
  <si>
    <t>Publication Printing</t>
  </si>
  <si>
    <t>&lt;--additional budget requested</t>
  </si>
  <si>
    <t>&lt;--additional OE budget requested</t>
  </si>
  <si>
    <t>office/recruit assistant</t>
  </si>
  <si>
    <t>comm asst</t>
  </si>
  <si>
    <t>ambassadors</t>
  </si>
  <si>
    <t>WORK/STUDY AMOUNTS</t>
  </si>
  <si>
    <t>communications asst (10/1-6/15), 10 hr/week - no work during breaks</t>
  </si>
  <si>
    <t>temp ambassador (1 @ $900)</t>
  </si>
  <si>
    <t>student assistant ambassadors (2 @ $900 EA)</t>
  </si>
  <si>
    <t>hours/week</t>
  </si>
  <si>
    <t>weeks</t>
  </si>
  <si>
    <t>office assistant (10/8-5/3) , 19 hr/week</t>
  </si>
  <si>
    <t>recruit assistant spring (5/6 - 6/30), 19 hr/week</t>
  </si>
  <si>
    <t>ea person gets $675 in work/study</t>
  </si>
  <si>
    <t>$450 for kwasi if I hire him to be the blogger/email answerer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</si>
</sst>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0" fillId="0" borderId="1" xfId="0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0" fontId="0" fillId="3" borderId="1" xfId="0" applyFill="1" applyBorder="1"/>
    <xf numFmtId="0" fontId="0" fillId="4" borderId="0" xfId="0" applyFill="1"/>
    <xf numFmtId="0" fontId="0" fillId="4" borderId="0" xfId="0" applyFill="1" applyBorder="1"/>
    <xf numFmtId="0" fontId="0" fillId="4" borderId="1" xfId="0" applyFill="1" applyBorder="1"/>
    <xf numFmtId="1" fontId="0" fillId="0" borderId="0" xfId="0" applyNumberFormat="1"/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1" fillId="4" borderId="0" xfId="0" applyFont="1" applyFill="1"/>
    <xf numFmtId="0" fontId="0" fillId="0" borderId="0" xfId="0" applyFill="1"/>
    <xf numFmtId="0" fontId="0" fillId="0" borderId="1" xfId="0" applyFill="1" applyBorder="1"/>
    <xf numFmtId="0" fontId="2" fillId="0" borderId="0" xfId="0" applyFont="1"/>
    <xf numFmtId="0" fontId="3" fillId="3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0" borderId="0" xfId="0" applyFont="1"/>
    <xf numFmtId="0" fontId="2" fillId="0" borderId="0" xfId="0" applyFont="1" applyFill="1"/>
    <xf numFmtId="0" fontId="3" fillId="3" borderId="0" xfId="0" applyFont="1" applyFill="1" applyBorder="1"/>
    <xf numFmtId="0" fontId="3" fillId="2" borderId="0" xfId="0" applyFont="1" applyFill="1" applyBorder="1"/>
    <xf numFmtId="0" fontId="3" fillId="4" borderId="0" xfId="0" applyFont="1" applyFill="1" applyBorder="1"/>
    <xf numFmtId="0" fontId="0" fillId="0" borderId="0" xfId="0" applyFill="1" applyBorder="1"/>
    <xf numFmtId="0" fontId="1" fillId="2" borderId="0" xfId="0" applyFont="1" applyFill="1" applyBorder="1"/>
    <xf numFmtId="0" fontId="1" fillId="3" borderId="0" xfId="0" applyFont="1" applyFill="1" applyAlignment="1">
      <alignment horizontal="right"/>
    </xf>
    <xf numFmtId="0" fontId="0" fillId="3" borderId="0" xfId="0" applyFont="1" applyFill="1"/>
    <xf numFmtId="0" fontId="0" fillId="5" borderId="0" xfId="0" applyFill="1"/>
    <xf numFmtId="0" fontId="1" fillId="4" borderId="0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4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 applyAlignment="1">
      <alignment horizontal="right"/>
    </xf>
    <xf numFmtId="0" fontId="0" fillId="3" borderId="3" xfId="0" applyFont="1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0" fillId="0" borderId="0" xfId="1" applyFont="1"/>
    <xf numFmtId="44" fontId="3" fillId="0" borderId="0" xfId="1" applyFont="1" applyAlignment="1">
      <alignment horizontal="right"/>
    </xf>
    <xf numFmtId="0" fontId="0" fillId="2" borderId="6" xfId="0" applyFill="1" applyBorder="1"/>
    <xf numFmtId="44" fontId="0" fillId="2" borderId="6" xfId="1" applyFont="1" applyFill="1" applyBorder="1"/>
    <xf numFmtId="44" fontId="0" fillId="2" borderId="7" xfId="1" applyFont="1" applyFill="1" applyBorder="1"/>
    <xf numFmtId="44" fontId="1" fillId="2" borderId="6" xfId="1" applyFont="1" applyFill="1" applyBorder="1"/>
    <xf numFmtId="44" fontId="3" fillId="2" borderId="6" xfId="1" applyFont="1" applyFill="1" applyBorder="1"/>
    <xf numFmtId="44" fontId="1" fillId="2" borderId="7" xfId="1" applyFont="1" applyFill="1" applyBorder="1"/>
    <xf numFmtId="44" fontId="0" fillId="3" borderId="3" xfId="1" applyFont="1" applyFill="1" applyBorder="1"/>
    <xf numFmtId="44" fontId="0" fillId="3" borderId="4" xfId="1" applyFont="1" applyFill="1" applyBorder="1"/>
    <xf numFmtId="44" fontId="1" fillId="3" borderId="3" xfId="1" applyFont="1" applyFill="1" applyBorder="1"/>
    <xf numFmtId="44" fontId="1" fillId="3" borderId="3" xfId="1" applyFont="1" applyFill="1" applyBorder="1" applyAlignment="1">
      <alignment horizontal="right"/>
    </xf>
    <xf numFmtId="44" fontId="3" fillId="3" borderId="3" xfId="1" applyFont="1" applyFill="1" applyBorder="1"/>
    <xf numFmtId="44" fontId="1" fillId="3" borderId="4" xfId="1" applyFont="1" applyFill="1" applyBorder="1"/>
    <xf numFmtId="0" fontId="10" fillId="0" borderId="0" xfId="0" applyFont="1"/>
    <xf numFmtId="0" fontId="1" fillId="3" borderId="2" xfId="0" applyFont="1" applyFill="1" applyBorder="1"/>
    <xf numFmtId="0" fontId="1" fillId="2" borderId="5" xfId="0" applyFont="1" applyFill="1" applyBorder="1"/>
    <xf numFmtId="44" fontId="3" fillId="0" borderId="0" xfId="1" applyFont="1"/>
    <xf numFmtId="0" fontId="7" fillId="0" borderId="0" xfId="0" applyFont="1" applyFill="1"/>
    <xf numFmtId="0" fontId="0" fillId="2" borderId="7" xfId="0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" fontId="0" fillId="5" borderId="0" xfId="0" applyNumberFormat="1" applyFill="1"/>
    <xf numFmtId="16" fontId="0" fillId="0" borderId="0" xfId="0" applyNumberFormat="1"/>
    <xf numFmtId="1" fontId="1" fillId="5" borderId="0" xfId="0" applyNumberFormat="1" applyFont="1" applyFill="1"/>
    <xf numFmtId="0" fontId="11" fillId="0" borderId="0" xfId="0" applyFont="1"/>
    <xf numFmtId="0" fontId="12" fillId="0" borderId="0" xfId="0" applyFont="1"/>
    <xf numFmtId="0" fontId="11" fillId="3" borderId="2" xfId="0" applyFont="1" applyFill="1" applyBorder="1"/>
    <xf numFmtId="0" fontId="11" fillId="2" borderId="5" xfId="0" applyFont="1" applyFill="1" applyBorder="1"/>
    <xf numFmtId="0" fontId="12" fillId="3" borderId="3" xfId="0" applyFont="1" applyFill="1" applyBorder="1"/>
    <xf numFmtId="0" fontId="12" fillId="2" borderId="6" xfId="0" applyFont="1" applyFill="1" applyBorder="1"/>
    <xf numFmtId="44" fontId="12" fillId="3" borderId="3" xfId="1" applyFont="1" applyFill="1" applyBorder="1"/>
    <xf numFmtId="44" fontId="12" fillId="2" borderId="6" xfId="1" applyFont="1" applyFill="1" applyBorder="1"/>
    <xf numFmtId="0" fontId="12" fillId="0" borderId="0" xfId="0" applyFont="1" applyFill="1" applyBorder="1"/>
    <xf numFmtId="0" fontId="12" fillId="0" borderId="1" xfId="0" applyFont="1" applyBorder="1"/>
    <xf numFmtId="44" fontId="12" fillId="3" borderId="4" xfId="1" applyFont="1" applyFill="1" applyBorder="1"/>
    <xf numFmtId="44" fontId="12" fillId="2" borderId="4" xfId="1" applyFont="1" applyFill="1" applyBorder="1"/>
    <xf numFmtId="0" fontId="11" fillId="0" borderId="0" xfId="0" applyFont="1" applyFill="1" applyBorder="1" applyAlignment="1">
      <alignment horizontal="right"/>
    </xf>
    <xf numFmtId="44" fontId="11" fillId="3" borderId="3" xfId="1" applyFont="1" applyFill="1" applyBorder="1"/>
    <xf numFmtId="44" fontId="11" fillId="2" borderId="6" xfId="1" applyFont="1" applyFill="1" applyBorder="1"/>
    <xf numFmtId="44" fontId="11" fillId="0" borderId="0" xfId="0" applyNumberFormat="1" applyFont="1"/>
    <xf numFmtId="44" fontId="12" fillId="2" borderId="7" xfId="1" applyFont="1" applyFill="1" applyBorder="1"/>
    <xf numFmtId="0" fontId="12" fillId="0" borderId="8" xfId="0" applyFont="1" applyBorder="1"/>
    <xf numFmtId="44" fontId="11" fillId="3" borderId="3" xfId="1" applyFont="1" applyFill="1" applyBorder="1" applyAlignment="1">
      <alignment horizontal="right"/>
    </xf>
    <xf numFmtId="0" fontId="13" fillId="0" borderId="0" xfId="0" applyFont="1"/>
    <xf numFmtId="44" fontId="14" fillId="3" borderId="3" xfId="1" applyFont="1" applyFill="1" applyBorder="1"/>
    <xf numFmtId="44" fontId="14" fillId="2" borderId="6" xfId="1" applyFont="1" applyFill="1" applyBorder="1"/>
    <xf numFmtId="0" fontId="14" fillId="0" borderId="0" xfId="0" applyFont="1"/>
    <xf numFmtId="0" fontId="12" fillId="0" borderId="0" xfId="0" applyFont="1" applyFill="1"/>
    <xf numFmtId="0" fontId="12" fillId="0" borderId="1" xfId="0" applyFont="1" applyFill="1" applyBorder="1"/>
    <xf numFmtId="0" fontId="13" fillId="0" borderId="0" xfId="0" applyFont="1" applyFill="1"/>
    <xf numFmtId="0" fontId="14" fillId="0" borderId="0" xfId="0" applyFont="1" applyAlignment="1">
      <alignment horizontal="right"/>
    </xf>
    <xf numFmtId="44" fontId="14" fillId="0" borderId="0" xfId="0" applyNumberFormat="1" applyFont="1"/>
    <xf numFmtId="0" fontId="11" fillId="0" borderId="0" xfId="0" applyFont="1" applyAlignment="1">
      <alignment horizontal="right"/>
    </xf>
    <xf numFmtId="44" fontId="11" fillId="3" borderId="4" xfId="1" applyFont="1" applyFill="1" applyBorder="1"/>
    <xf numFmtId="44" fontId="11" fillId="2" borderId="7" xfId="1" applyFont="1" applyFill="1" applyBorder="1"/>
    <xf numFmtId="44" fontId="12" fillId="0" borderId="0" xfId="1" applyFont="1"/>
    <xf numFmtId="0" fontId="12" fillId="5" borderId="0" xfId="0" applyFont="1" applyFill="1"/>
    <xf numFmtId="0" fontId="1" fillId="5" borderId="0" xfId="0" applyFont="1" applyFill="1"/>
    <xf numFmtId="1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zoomScaleNormal="100" workbookViewId="0">
      <pane xSplit="1" ySplit="28" topLeftCell="B29" activePane="bottomRight" state="frozen"/>
      <selection pane="topRight" activeCell="B1" sqref="B1"/>
      <selection pane="bottomLeft" activeCell="A11" sqref="A11"/>
      <selection pane="bottomRight" activeCell="A4" sqref="A4:A26"/>
    </sheetView>
  </sheetViews>
  <sheetFormatPr defaultRowHeight="15"/>
  <cols>
    <col min="1" max="1" width="52" bestFit="1" customWidth="1"/>
    <col min="2" max="2" width="14.28515625" bestFit="1" customWidth="1"/>
    <col min="3" max="3" width="12.140625" customWidth="1"/>
    <col min="4" max="4" width="14.85546875" bestFit="1" customWidth="1"/>
    <col min="5" max="5" width="14" bestFit="1" customWidth="1"/>
    <col min="6" max="6" width="28.42578125" style="35" customWidth="1"/>
  </cols>
  <sheetData>
    <row r="1" spans="1:1">
      <c r="A1" t="s">
        <v>0</v>
      </c>
    </row>
    <row r="2" spans="1:1">
      <c r="A2" t="s">
        <v>1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107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109</v>
      </c>
    </row>
    <row r="15" spans="1:1">
      <c r="A15" t="s">
        <v>106</v>
      </c>
    </row>
    <row r="16" spans="1:1">
      <c r="A16" t="s">
        <v>114</v>
      </c>
    </row>
    <row r="17" spans="1:6">
      <c r="A17" t="s">
        <v>115</v>
      </c>
    </row>
    <row r="18" spans="1:6">
      <c r="A18" t="s">
        <v>122</v>
      </c>
    </row>
    <row r="19" spans="1:6">
      <c r="A19" t="s">
        <v>123</v>
      </c>
    </row>
    <row r="20" spans="1:6">
      <c r="A20" t="s">
        <v>124</v>
      </c>
    </row>
    <row r="21" spans="1:6">
      <c r="A21" t="s">
        <v>116</v>
      </c>
    </row>
    <row r="22" spans="1:6">
      <c r="A22" t="s">
        <v>125</v>
      </c>
    </row>
    <row r="23" spans="1:6">
      <c r="A23" t="s">
        <v>127</v>
      </c>
    </row>
    <row r="24" spans="1:6">
      <c r="A24" t="s">
        <v>126</v>
      </c>
    </row>
    <row r="25" spans="1:6">
      <c r="A25" t="s">
        <v>119</v>
      </c>
    </row>
    <row r="26" spans="1:6">
      <c r="A26" t="s">
        <v>128</v>
      </c>
    </row>
    <row r="28" spans="1:6">
      <c r="B28" s="6" t="s">
        <v>49</v>
      </c>
      <c r="C28" s="3" t="s">
        <v>50</v>
      </c>
      <c r="D28" s="9" t="s">
        <v>51</v>
      </c>
      <c r="E28" s="3" t="s">
        <v>52</v>
      </c>
      <c r="F28" s="35" t="s">
        <v>22</v>
      </c>
    </row>
    <row r="29" spans="1:6">
      <c r="A29" s="13" t="s">
        <v>2</v>
      </c>
      <c r="B29" s="6">
        <v>58790</v>
      </c>
      <c r="C29" s="3">
        <v>0</v>
      </c>
      <c r="D29" s="9"/>
      <c r="E29" s="3"/>
    </row>
    <row r="30" spans="1:6">
      <c r="A30" t="s">
        <v>36</v>
      </c>
      <c r="B30" s="6">
        <v>0</v>
      </c>
      <c r="C30" s="3">
        <v>49020</v>
      </c>
      <c r="D30" s="9"/>
      <c r="E30" s="3">
        <v>49020</v>
      </c>
    </row>
    <row r="31" spans="1:6">
      <c r="A31" t="s">
        <v>37</v>
      </c>
      <c r="B31" s="6"/>
      <c r="C31" s="3"/>
      <c r="D31" s="9"/>
      <c r="E31" s="3">
        <v>15588</v>
      </c>
      <c r="F31" s="35" t="s">
        <v>112</v>
      </c>
    </row>
    <row r="32" spans="1:6">
      <c r="A32" t="s">
        <v>41</v>
      </c>
      <c r="B32" s="6">
        <v>0</v>
      </c>
      <c r="C32" s="3">
        <v>1517.33</v>
      </c>
      <c r="D32" s="9"/>
      <c r="E32" s="3">
        <v>3000</v>
      </c>
      <c r="F32" s="35" t="s">
        <v>43</v>
      </c>
    </row>
    <row r="33" spans="1:6">
      <c r="A33" s="1" t="s">
        <v>42</v>
      </c>
      <c r="B33" s="7">
        <v>0</v>
      </c>
      <c r="C33" s="4">
        <v>2484</v>
      </c>
      <c r="D33" s="10"/>
      <c r="E33" s="3">
        <v>1000</v>
      </c>
      <c r="F33" s="35" t="s">
        <v>96</v>
      </c>
    </row>
    <row r="34" spans="1:6">
      <c r="A34" s="28" t="s">
        <v>40</v>
      </c>
      <c r="B34" s="7"/>
      <c r="C34" s="4"/>
      <c r="D34" s="10"/>
      <c r="E34" s="3">
        <v>4000</v>
      </c>
      <c r="F34" s="35" t="s">
        <v>53</v>
      </c>
    </row>
    <row r="35" spans="1:6">
      <c r="A35" s="28" t="s">
        <v>62</v>
      </c>
      <c r="B35" s="7"/>
      <c r="C35" s="4"/>
      <c r="D35" s="10"/>
      <c r="E35" s="3">
        <v>3500</v>
      </c>
      <c r="F35" s="35" t="s">
        <v>63</v>
      </c>
    </row>
    <row r="36" spans="1:6">
      <c r="A36" s="28" t="s">
        <v>35</v>
      </c>
      <c r="B36" s="7"/>
      <c r="C36" s="4"/>
      <c r="D36" s="10"/>
      <c r="E36" s="3">
        <v>2300</v>
      </c>
      <c r="F36" s="35" t="s">
        <v>108</v>
      </c>
    </row>
    <row r="37" spans="1:6">
      <c r="A37" s="2" t="s">
        <v>68</v>
      </c>
      <c r="B37" s="8">
        <v>0</v>
      </c>
      <c r="C37" s="5">
        <f>104+400</f>
        <v>504</v>
      </c>
      <c r="D37" s="11"/>
      <c r="E37" s="5">
        <f>1200*5</f>
        <v>6000</v>
      </c>
      <c r="F37" s="35" t="s">
        <v>110</v>
      </c>
    </row>
    <row r="38" spans="1:6">
      <c r="B38" s="30" t="s">
        <v>47</v>
      </c>
      <c r="C38" s="15">
        <f>SUM(C30:C33)</f>
        <v>53021.33</v>
      </c>
      <c r="D38" s="16">
        <f>B29-C38</f>
        <v>5768.6699999999983</v>
      </c>
      <c r="E38" s="15">
        <f>SUM(E30:E37)</f>
        <v>84408</v>
      </c>
    </row>
    <row r="39" spans="1:6">
      <c r="A39" s="13" t="s">
        <v>3</v>
      </c>
      <c r="B39" s="6">
        <v>18274</v>
      </c>
      <c r="C39" s="3"/>
      <c r="D39" s="9"/>
      <c r="E39" s="3"/>
    </row>
    <row r="40" spans="1:6">
      <c r="A40" t="s">
        <v>38</v>
      </c>
      <c r="B40" s="6">
        <v>0</v>
      </c>
      <c r="C40" s="3">
        <v>17377</v>
      </c>
      <c r="D40" s="9"/>
      <c r="E40" s="3">
        <v>18274</v>
      </c>
    </row>
    <row r="41" spans="1:6">
      <c r="A41" t="s">
        <v>39</v>
      </c>
      <c r="B41" s="6"/>
      <c r="C41" s="3"/>
      <c r="D41" s="9"/>
      <c r="E41" s="3">
        <v>12720</v>
      </c>
      <c r="F41" s="35" t="s">
        <v>111</v>
      </c>
    </row>
    <row r="42" spans="1:6">
      <c r="A42" s="2" t="s">
        <v>69</v>
      </c>
      <c r="B42" s="8">
        <v>0</v>
      </c>
      <c r="C42" s="5"/>
      <c r="D42" s="11"/>
      <c r="E42" s="5">
        <v>600</v>
      </c>
      <c r="F42" s="35" t="s">
        <v>113</v>
      </c>
    </row>
    <row r="43" spans="1:6">
      <c r="B43" s="30" t="s">
        <v>47</v>
      </c>
      <c r="C43" s="15">
        <f>SUM(C40:C42)</f>
        <v>17377</v>
      </c>
      <c r="D43" s="16">
        <f>B39-C43</f>
        <v>897</v>
      </c>
      <c r="E43" s="15">
        <f>SUM(E40:E42)</f>
        <v>31594</v>
      </c>
    </row>
    <row r="44" spans="1:6">
      <c r="A44" s="13" t="s">
        <v>23</v>
      </c>
      <c r="B44" s="31">
        <f>12842+4800</f>
        <v>17642</v>
      </c>
      <c r="C44" s="15"/>
      <c r="D44" s="16"/>
      <c r="E44" s="15"/>
    </row>
    <row r="45" spans="1:6" s="23" customFormat="1">
      <c r="A45" s="19" t="s">
        <v>27</v>
      </c>
      <c r="B45" s="20"/>
      <c r="C45" s="21"/>
      <c r="D45" s="22"/>
      <c r="E45" s="21"/>
      <c r="F45" s="36"/>
    </row>
    <row r="46" spans="1:6">
      <c r="A46" s="17" t="s">
        <v>11</v>
      </c>
      <c r="B46" s="6">
        <v>0</v>
      </c>
      <c r="C46" s="3">
        <f>917.75-500</f>
        <v>417.75</v>
      </c>
      <c r="D46" s="9"/>
      <c r="E46" s="3">
        <v>400</v>
      </c>
    </row>
    <row r="47" spans="1:6">
      <c r="A47" s="18" t="s">
        <v>14</v>
      </c>
      <c r="B47" s="8"/>
      <c r="C47" s="5">
        <v>0</v>
      </c>
      <c r="D47" s="11"/>
      <c r="E47" s="5">
        <v>400</v>
      </c>
    </row>
    <row r="48" spans="1:6">
      <c r="A48" s="17"/>
      <c r="B48" s="30" t="s">
        <v>47</v>
      </c>
      <c r="C48" s="15">
        <f>SUM(C46:C47)</f>
        <v>417.75</v>
      </c>
      <c r="D48" s="9"/>
      <c r="E48" s="15">
        <f>SUM(E46:E47)</f>
        <v>800</v>
      </c>
    </row>
    <row r="49" spans="1:6" s="23" customFormat="1">
      <c r="A49" s="24" t="s">
        <v>28</v>
      </c>
      <c r="B49" s="20"/>
      <c r="C49" s="21"/>
      <c r="D49" s="22"/>
      <c r="E49" s="21"/>
      <c r="F49" s="36"/>
    </row>
    <row r="50" spans="1:6">
      <c r="A50" s="17" t="s">
        <v>4</v>
      </c>
      <c r="B50" s="6">
        <v>0</v>
      </c>
      <c r="C50" s="3">
        <v>235</v>
      </c>
      <c r="D50" s="9"/>
      <c r="E50" s="3">
        <v>600</v>
      </c>
      <c r="F50" s="35" t="s">
        <v>15</v>
      </c>
    </row>
    <row r="51" spans="1:6">
      <c r="A51" s="17" t="s">
        <v>64</v>
      </c>
      <c r="B51" s="6"/>
      <c r="C51" s="3"/>
      <c r="D51" s="9"/>
      <c r="E51" s="3">
        <f>150*3</f>
        <v>450</v>
      </c>
      <c r="F51" s="35" t="s">
        <v>65</v>
      </c>
    </row>
    <row r="52" spans="1:6">
      <c r="A52" s="17" t="s">
        <v>5</v>
      </c>
      <c r="B52" s="6">
        <v>0</v>
      </c>
      <c r="C52" s="3">
        <f>276.75+45</f>
        <v>321.75</v>
      </c>
      <c r="D52" s="9"/>
      <c r="E52" s="3">
        <v>500</v>
      </c>
    </row>
    <row r="53" spans="1:6">
      <c r="A53" s="17" t="s">
        <v>17</v>
      </c>
      <c r="B53" s="6">
        <v>0</v>
      </c>
      <c r="C53" s="3">
        <f>1000+800</f>
        <v>1800</v>
      </c>
      <c r="D53" s="9"/>
      <c r="E53" s="3">
        <v>3200</v>
      </c>
      <c r="F53" s="35" t="s">
        <v>72</v>
      </c>
    </row>
    <row r="54" spans="1:6">
      <c r="A54" s="17" t="s">
        <v>118</v>
      </c>
      <c r="B54" s="6"/>
      <c r="C54" s="3"/>
      <c r="D54" s="9"/>
      <c r="E54" s="3">
        <v>16800</v>
      </c>
      <c r="F54" s="35" t="s">
        <v>117</v>
      </c>
    </row>
    <row r="55" spans="1:6">
      <c r="A55" s="17" t="s">
        <v>19</v>
      </c>
      <c r="B55" s="6"/>
      <c r="C55" s="3">
        <f>102.59+1500+200</f>
        <v>1802.59</v>
      </c>
      <c r="D55" s="9"/>
      <c r="E55" s="3">
        <v>2000</v>
      </c>
    </row>
    <row r="56" spans="1:6">
      <c r="A56" s="17" t="s">
        <v>32</v>
      </c>
      <c r="B56" s="6">
        <v>0</v>
      </c>
      <c r="C56" s="3">
        <f>821+500</f>
        <v>1321</v>
      </c>
      <c r="D56" s="9"/>
      <c r="E56" s="3">
        <v>1500</v>
      </c>
    </row>
    <row r="57" spans="1:6">
      <c r="A57" s="17" t="s">
        <v>20</v>
      </c>
      <c r="B57" s="6">
        <v>0</v>
      </c>
      <c r="C57" s="3">
        <f>3145.1+150+200+215+400+232+200+79+35</f>
        <v>4656.1000000000004</v>
      </c>
      <c r="D57" s="9"/>
      <c r="E57" s="3">
        <v>4000</v>
      </c>
    </row>
    <row r="58" spans="1:6">
      <c r="A58" s="18" t="s">
        <v>29</v>
      </c>
      <c r="B58" s="8">
        <v>0</v>
      </c>
      <c r="C58" s="5">
        <f>600+79+32.64+86+11.39+147+1461+123+1490+78+158+164</f>
        <v>4430.03</v>
      </c>
      <c r="D58" s="11"/>
      <c r="E58" s="5">
        <v>4000</v>
      </c>
      <c r="F58" s="35" t="s">
        <v>66</v>
      </c>
    </row>
    <row r="59" spans="1:6">
      <c r="A59" s="17"/>
      <c r="B59" s="30" t="s">
        <v>47</v>
      </c>
      <c r="C59" s="29">
        <f>SUM(C50:C58)</f>
        <v>14566.470000000001</v>
      </c>
      <c r="D59" s="10"/>
      <c r="E59" s="29">
        <f>SUM(E50:E58)</f>
        <v>33050</v>
      </c>
    </row>
    <row r="60" spans="1:6" s="23" customFormat="1">
      <c r="A60" s="24" t="s">
        <v>30</v>
      </c>
      <c r="B60" s="25"/>
      <c r="C60" s="26"/>
      <c r="D60" s="27"/>
      <c r="E60" s="26"/>
      <c r="F60" s="36"/>
    </row>
    <row r="61" spans="1:6">
      <c r="A61" s="17" t="s">
        <v>75</v>
      </c>
      <c r="B61" s="6">
        <v>0</v>
      </c>
      <c r="C61" s="3">
        <v>90</v>
      </c>
      <c r="D61" s="9"/>
      <c r="E61" s="3">
        <v>700</v>
      </c>
    </row>
    <row r="62" spans="1:6">
      <c r="A62" s="17" t="s">
        <v>10</v>
      </c>
      <c r="B62" s="6">
        <v>0</v>
      </c>
      <c r="C62" s="3">
        <f>174.48+30</f>
        <v>204.48</v>
      </c>
      <c r="D62" s="9"/>
      <c r="E62" s="3">
        <v>0</v>
      </c>
      <c r="F62" s="35" t="s">
        <v>16</v>
      </c>
    </row>
    <row r="63" spans="1:6">
      <c r="A63" s="17" t="s">
        <v>21</v>
      </c>
      <c r="B63" s="6"/>
      <c r="C63" s="3">
        <v>266</v>
      </c>
      <c r="D63" s="9"/>
      <c r="E63" s="3">
        <v>300</v>
      </c>
      <c r="F63" s="35" t="s">
        <v>73</v>
      </c>
    </row>
    <row r="64" spans="1:6">
      <c r="A64" s="17" t="s">
        <v>31</v>
      </c>
      <c r="B64" s="6"/>
      <c r="C64" s="3">
        <v>100</v>
      </c>
      <c r="D64" s="9"/>
      <c r="E64" s="3">
        <v>100</v>
      </c>
      <c r="F64" s="35" t="s">
        <v>74</v>
      </c>
    </row>
    <row r="65" spans="1:6">
      <c r="A65" s="18" t="s">
        <v>70</v>
      </c>
      <c r="B65" s="8">
        <v>0</v>
      </c>
      <c r="C65" s="5">
        <v>0</v>
      </c>
      <c r="D65" s="11"/>
      <c r="E65" s="5">
        <v>500</v>
      </c>
    </row>
    <row r="66" spans="1:6">
      <c r="A66" s="28"/>
      <c r="B66" s="30" t="s">
        <v>47</v>
      </c>
      <c r="C66" s="29">
        <f>SUM(C61:C65)</f>
        <v>660.48</v>
      </c>
      <c r="D66" s="10"/>
      <c r="E66" s="29">
        <f>SUM(E61:E65)</f>
        <v>1600</v>
      </c>
    </row>
    <row r="67" spans="1:6" s="23" customFormat="1">
      <c r="A67" s="19" t="s">
        <v>33</v>
      </c>
      <c r="B67" s="20"/>
      <c r="C67" s="21"/>
      <c r="D67" s="22"/>
      <c r="E67" s="21"/>
      <c r="F67" s="36"/>
    </row>
    <row r="68" spans="1:6">
      <c r="A68" s="17" t="s">
        <v>13</v>
      </c>
      <c r="B68" s="6"/>
      <c r="C68" s="3">
        <v>150</v>
      </c>
      <c r="D68" s="9"/>
      <c r="E68" s="3">
        <v>150</v>
      </c>
      <c r="F68" s="35" t="s">
        <v>120</v>
      </c>
    </row>
    <row r="69" spans="1:6">
      <c r="A69" s="18" t="s">
        <v>78</v>
      </c>
      <c r="B69" s="8"/>
      <c r="C69" s="5">
        <v>0</v>
      </c>
      <c r="D69" s="11"/>
      <c r="E69" s="5">
        <v>1200</v>
      </c>
    </row>
    <row r="70" spans="1:6">
      <c r="A70" s="28"/>
      <c r="B70" s="30" t="s">
        <v>47</v>
      </c>
      <c r="C70" s="29">
        <f>SUM(C68:C69)</f>
        <v>150</v>
      </c>
      <c r="D70" s="10"/>
      <c r="E70" s="29">
        <f>SUM(E68:E69)</f>
        <v>1350</v>
      </c>
    </row>
    <row r="71" spans="1:6" s="23" customFormat="1">
      <c r="A71" s="24" t="s">
        <v>34</v>
      </c>
      <c r="B71" s="20"/>
      <c r="C71" s="21"/>
      <c r="D71" s="22"/>
      <c r="E71" s="21"/>
      <c r="F71" s="36"/>
    </row>
    <row r="72" spans="1:6">
      <c r="A72" s="17" t="s">
        <v>26</v>
      </c>
      <c r="B72" s="6"/>
      <c r="C72" s="3">
        <f>785.84-79</f>
        <v>706.84</v>
      </c>
      <c r="D72" s="9"/>
      <c r="E72" s="3">
        <v>1800</v>
      </c>
      <c r="F72" s="35" t="s">
        <v>121</v>
      </c>
    </row>
    <row r="73" spans="1:6">
      <c r="A73" s="18" t="s">
        <v>9</v>
      </c>
      <c r="B73" s="8"/>
      <c r="C73" s="5">
        <v>1400</v>
      </c>
      <c r="D73" s="11"/>
      <c r="E73" s="5">
        <v>1500</v>
      </c>
      <c r="F73" s="35" t="s">
        <v>25</v>
      </c>
    </row>
    <row r="74" spans="1:6">
      <c r="A74" s="28"/>
      <c r="B74" s="30" t="s">
        <v>47</v>
      </c>
      <c r="C74" s="29">
        <f>SUM(C72:C73)</f>
        <v>2106.84</v>
      </c>
      <c r="D74" s="33">
        <f>B44-SUM(C48+C59+C66+C70+C74)</f>
        <v>-259.54000000000087</v>
      </c>
      <c r="E74" s="29">
        <f>SUM(E72:E73)</f>
        <v>3300</v>
      </c>
    </row>
    <row r="75" spans="1:6">
      <c r="B75" s="6"/>
      <c r="C75" s="3"/>
      <c r="D75" s="9"/>
      <c r="E75" s="3"/>
    </row>
    <row r="76" spans="1:6">
      <c r="A76" t="s">
        <v>6</v>
      </c>
      <c r="B76" s="14">
        <f>SUM(B29:B73)</f>
        <v>94706</v>
      </c>
      <c r="C76" s="15">
        <f>SUM(C74+C70+C66+C59+C48+C43+C38)</f>
        <v>88299.87</v>
      </c>
      <c r="D76" s="16">
        <f>B76-C76</f>
        <v>6406.1300000000047</v>
      </c>
      <c r="E76" s="15">
        <f>SUM(E74+E70+E66+E59+E48+E43+E38)</f>
        <v>156102</v>
      </c>
    </row>
    <row r="78" spans="1:6">
      <c r="C78" t="s">
        <v>48</v>
      </c>
      <c r="E78">
        <f>E76-B76</f>
        <v>61396</v>
      </c>
      <c r="F78" s="35" t="s">
        <v>129</v>
      </c>
    </row>
  </sheetData>
  <pageMargins left="0.25" right="0.25" top="0.25" bottom="0.25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K4" sqref="K4"/>
    </sheetView>
  </sheetViews>
  <sheetFormatPr defaultRowHeight="15"/>
  <cols>
    <col min="1" max="1" width="37.42578125" customWidth="1"/>
    <col min="2" max="2" width="15" customWidth="1"/>
    <col min="3" max="3" width="14" bestFit="1" customWidth="1"/>
  </cols>
  <sheetData>
    <row r="1" spans="1:4">
      <c r="A1" s="13" t="s">
        <v>152</v>
      </c>
    </row>
    <row r="2" spans="1:4">
      <c r="A2" s="13" t="s">
        <v>142</v>
      </c>
    </row>
    <row r="3" spans="1:4">
      <c r="A3" s="13"/>
    </row>
    <row r="4" spans="1:4">
      <c r="B4" s="68" t="s">
        <v>49</v>
      </c>
      <c r="C4" s="69" t="s">
        <v>52</v>
      </c>
      <c r="D4" t="s">
        <v>22</v>
      </c>
    </row>
    <row r="5" spans="1:4">
      <c r="A5" s="13"/>
      <c r="B5" s="38"/>
      <c r="C5" s="55"/>
      <c r="D5" s="34" t="s">
        <v>150</v>
      </c>
    </row>
    <row r="6" spans="1:4">
      <c r="A6" s="13" t="s">
        <v>84</v>
      </c>
      <c r="B6" s="38"/>
      <c r="C6" s="55"/>
    </row>
    <row r="7" spans="1:4">
      <c r="A7" t="s">
        <v>80</v>
      </c>
      <c r="B7" s="38"/>
      <c r="C7" s="55">
        <v>3000</v>
      </c>
      <c r="D7" t="s">
        <v>143</v>
      </c>
    </row>
    <row r="8" spans="1:4">
      <c r="A8" t="s">
        <v>86</v>
      </c>
      <c r="B8" s="38"/>
      <c r="C8" s="55">
        <v>1200</v>
      </c>
      <c r="D8" t="s">
        <v>144</v>
      </c>
    </row>
    <row r="9" spans="1:4">
      <c r="A9" t="s">
        <v>146</v>
      </c>
      <c r="B9" s="38"/>
      <c r="C9" s="55">
        <v>1500</v>
      </c>
      <c r="D9" t="s">
        <v>145</v>
      </c>
    </row>
    <row r="10" spans="1:4">
      <c r="A10" s="2" t="s">
        <v>87</v>
      </c>
      <c r="B10" s="39"/>
      <c r="C10" s="72">
        <v>900</v>
      </c>
      <c r="D10" t="s">
        <v>147</v>
      </c>
    </row>
    <row r="11" spans="1:4">
      <c r="A11" s="52" t="s">
        <v>47</v>
      </c>
      <c r="B11" s="46" t="s">
        <v>133</v>
      </c>
      <c r="C11" s="73">
        <f>SUM(C7:C10)</f>
        <v>6600</v>
      </c>
      <c r="D11" s="17"/>
    </row>
    <row r="12" spans="1:4">
      <c r="A12" s="13" t="s">
        <v>81</v>
      </c>
      <c r="B12" s="75"/>
      <c r="C12" s="55"/>
      <c r="D12" s="17"/>
    </row>
    <row r="13" spans="1:4">
      <c r="A13" t="s">
        <v>82</v>
      </c>
      <c r="B13" s="75"/>
      <c r="C13" s="55">
        <v>5000</v>
      </c>
      <c r="D13" s="17" t="s">
        <v>83</v>
      </c>
    </row>
    <row r="14" spans="1:4">
      <c r="A14" t="s">
        <v>149</v>
      </c>
      <c r="B14" s="75"/>
      <c r="C14" s="55">
        <v>5000</v>
      </c>
      <c r="D14" s="17"/>
    </row>
    <row r="15" spans="1:4">
      <c r="A15" t="s">
        <v>181</v>
      </c>
      <c r="B15" s="75"/>
      <c r="C15" s="55">
        <v>5000</v>
      </c>
      <c r="D15" s="17" t="s">
        <v>182</v>
      </c>
    </row>
    <row r="16" spans="1:4">
      <c r="A16" s="2" t="s">
        <v>151</v>
      </c>
      <c r="B16" s="76"/>
      <c r="C16" s="72">
        <v>150</v>
      </c>
      <c r="D16" s="17"/>
    </row>
    <row r="17" spans="1:6">
      <c r="A17" s="50" t="s">
        <v>47</v>
      </c>
      <c r="B17" s="46" t="s">
        <v>131</v>
      </c>
      <c r="C17" s="73">
        <f>SUM(C13:C16)</f>
        <v>15150</v>
      </c>
      <c r="D17" s="17"/>
    </row>
    <row r="18" spans="1:6">
      <c r="A18" s="13" t="s">
        <v>33</v>
      </c>
      <c r="B18" s="75"/>
      <c r="C18" s="73"/>
      <c r="D18" s="17"/>
    </row>
    <row r="19" spans="1:6">
      <c r="A19" s="17" t="s">
        <v>12</v>
      </c>
      <c r="B19" s="75">
        <v>3000</v>
      </c>
      <c r="C19" s="55">
        <v>3000</v>
      </c>
      <c r="D19" s="17"/>
      <c r="F19" s="35"/>
    </row>
    <row r="20" spans="1:6">
      <c r="A20" s="18" t="s">
        <v>76</v>
      </c>
      <c r="B20" s="76"/>
      <c r="C20" s="72">
        <v>4000</v>
      </c>
      <c r="D20" s="71" t="s">
        <v>148</v>
      </c>
    </row>
    <row r="21" spans="1:6">
      <c r="A21" s="50" t="s">
        <v>47</v>
      </c>
      <c r="B21" s="46" t="s">
        <v>131</v>
      </c>
      <c r="C21" s="55">
        <f>SUM(C19:C20)</f>
        <v>7000</v>
      </c>
      <c r="D21" s="71"/>
    </row>
    <row r="22" spans="1:6">
      <c r="A22" s="13" t="s">
        <v>85</v>
      </c>
      <c r="B22" s="75"/>
      <c r="C22" s="55"/>
      <c r="D22" s="17"/>
    </row>
    <row r="23" spans="1:6">
      <c r="A23" t="s">
        <v>88</v>
      </c>
      <c r="B23" s="75"/>
      <c r="C23" s="55">
        <v>100</v>
      </c>
    </row>
    <row r="24" spans="1:6">
      <c r="A24" t="s">
        <v>5</v>
      </c>
      <c r="B24" s="75"/>
      <c r="C24" s="55">
        <v>25</v>
      </c>
    </row>
    <row r="25" spans="1:6">
      <c r="A25" s="2" t="s">
        <v>89</v>
      </c>
      <c r="B25" s="76"/>
      <c r="C25" s="72">
        <v>500</v>
      </c>
    </row>
    <row r="26" spans="1:6">
      <c r="B26" s="46" t="s">
        <v>131</v>
      </c>
      <c r="C26" s="73">
        <f>SUM(C23:C25)</f>
        <v>625</v>
      </c>
    </row>
    <row r="27" spans="1:6">
      <c r="B27" s="75"/>
      <c r="C27" s="55"/>
    </row>
    <row r="28" spans="1:6">
      <c r="A28" s="52" t="s">
        <v>135</v>
      </c>
      <c r="B28" s="77">
        <v>10900</v>
      </c>
      <c r="C28" s="74">
        <f>C26+C17+C11+C21</f>
        <v>29375</v>
      </c>
    </row>
    <row r="30" spans="1:6">
      <c r="B30" s="23" t="s">
        <v>136</v>
      </c>
      <c r="C30" s="23">
        <f>C28-B28</f>
        <v>18475</v>
      </c>
      <c r="D30" s="23" t="s">
        <v>90</v>
      </c>
    </row>
    <row r="31" spans="1:6">
      <c r="B31" s="23"/>
      <c r="C31" s="23"/>
      <c r="D31" s="23"/>
    </row>
    <row r="32" spans="1:6">
      <c r="A32" s="35" t="s">
        <v>134</v>
      </c>
      <c r="D32" s="35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I30"/>
  <sheetViews>
    <sheetView tabSelected="1" topLeftCell="A7" zoomScaleNormal="100" workbookViewId="0">
      <selection activeCell="I26" sqref="I26"/>
    </sheetView>
  </sheetViews>
  <sheetFormatPr defaultRowHeight="15"/>
  <cols>
    <col min="1" max="1" width="65.85546875" bestFit="1" customWidth="1"/>
    <col min="5" max="5" width="10.5703125" bestFit="1" customWidth="1"/>
    <col min="7" max="7" width="11.140625" bestFit="1" customWidth="1"/>
  </cols>
  <sheetData>
    <row r="3" spans="1:9">
      <c r="A3" t="s">
        <v>155</v>
      </c>
    </row>
    <row r="4" spans="1:9">
      <c r="A4" t="s">
        <v>156</v>
      </c>
    </row>
    <row r="5" spans="1:9">
      <c r="A5" t="s">
        <v>7</v>
      </c>
    </row>
    <row r="6" spans="1:9">
      <c r="A6" s="32" t="s">
        <v>153</v>
      </c>
      <c r="B6" s="78">
        <f>(10000/0.75)-10000</f>
        <v>3333.3333333333339</v>
      </c>
      <c r="C6" s="32" t="s">
        <v>8</v>
      </c>
      <c r="D6" s="32"/>
      <c r="E6" s="32"/>
    </row>
    <row r="7" spans="1:9">
      <c r="A7" t="s">
        <v>154</v>
      </c>
      <c r="B7" s="12">
        <f>(10000/0.6)-10000</f>
        <v>6666.6666666666679</v>
      </c>
      <c r="C7" t="s">
        <v>8</v>
      </c>
    </row>
    <row r="10" spans="1:9">
      <c r="B10" t="s">
        <v>55</v>
      </c>
      <c r="C10" t="s">
        <v>194</v>
      </c>
      <c r="D10" t="s">
        <v>195</v>
      </c>
      <c r="E10" t="s">
        <v>56</v>
      </c>
      <c r="F10" t="s">
        <v>57</v>
      </c>
      <c r="G10" t="s">
        <v>58</v>
      </c>
      <c r="H10" t="s">
        <v>59</v>
      </c>
    </row>
    <row r="11" spans="1:9" s="13" customFormat="1">
      <c r="A11" s="13" t="s">
        <v>196</v>
      </c>
      <c r="B11" s="13">
        <v>11</v>
      </c>
      <c r="C11" s="13">
        <v>19</v>
      </c>
      <c r="D11" s="13">
        <v>30</v>
      </c>
      <c r="E11" s="13">
        <f>C11*D11</f>
        <v>570</v>
      </c>
      <c r="F11" s="114">
        <f>E11*B11</f>
        <v>6270</v>
      </c>
      <c r="G11" s="80">
        <f>0.75*F11</f>
        <v>4702.5</v>
      </c>
      <c r="H11" s="80">
        <f>F11-G11</f>
        <v>1567.5</v>
      </c>
    </row>
    <row r="12" spans="1:9" s="13" customFormat="1">
      <c r="A12" s="13" t="s">
        <v>197</v>
      </c>
      <c r="B12" s="13">
        <v>13</v>
      </c>
      <c r="C12" s="13">
        <v>19</v>
      </c>
      <c r="D12" s="13">
        <v>8</v>
      </c>
      <c r="E12" s="13">
        <f>C12*D12</f>
        <v>152</v>
      </c>
      <c r="F12" s="114">
        <f>E12*B12</f>
        <v>1976</v>
      </c>
      <c r="G12" s="80">
        <f>0.75*F12</f>
        <v>1482</v>
      </c>
      <c r="H12" s="80">
        <f>F12-G12</f>
        <v>494</v>
      </c>
    </row>
    <row r="13" spans="1:9">
      <c r="A13" t="s">
        <v>158</v>
      </c>
      <c r="B13">
        <v>13</v>
      </c>
      <c r="E13">
        <f>(19*9)+(40*2)</f>
        <v>251</v>
      </c>
      <c r="F13" s="32">
        <f>E13*B13</f>
        <v>3263</v>
      </c>
      <c r="G13" s="78"/>
      <c r="H13" s="78">
        <f>F13</f>
        <v>3263</v>
      </c>
    </row>
    <row r="14" spans="1:9">
      <c r="A14" t="s">
        <v>157</v>
      </c>
      <c r="B14">
        <v>13</v>
      </c>
      <c r="C14">
        <v>172</v>
      </c>
      <c r="D14">
        <v>1.25</v>
      </c>
      <c r="E14">
        <f t="shared" ref="E14" si="0">C14*D14</f>
        <v>215</v>
      </c>
      <c r="F14" s="32">
        <f t="shared" ref="F14" si="1">E14*B14</f>
        <v>2795</v>
      </c>
      <c r="G14" s="78"/>
      <c r="H14" s="78">
        <f>F14</f>
        <v>2795</v>
      </c>
    </row>
    <row r="15" spans="1:9" s="13" customFormat="1">
      <c r="A15" s="13" t="s">
        <v>191</v>
      </c>
      <c r="B15" s="13">
        <v>12</v>
      </c>
      <c r="C15" s="13">
        <v>10</v>
      </c>
      <c r="D15" s="13">
        <v>30</v>
      </c>
      <c r="E15" s="13">
        <f>D15*C15</f>
        <v>300</v>
      </c>
      <c r="F15" s="114">
        <f>E15*B15</f>
        <v>3600</v>
      </c>
      <c r="G15" s="80"/>
      <c r="H15" s="80">
        <f>F15-G15</f>
        <v>3600</v>
      </c>
    </row>
    <row r="16" spans="1:9" s="13" customFormat="1">
      <c r="A16" s="13" t="s">
        <v>193</v>
      </c>
      <c r="E16" s="115"/>
      <c r="F16" s="80">
        <v>1800</v>
      </c>
      <c r="G16" s="80">
        <f>0.75*F16</f>
        <v>1350</v>
      </c>
      <c r="H16" s="80">
        <f>F16-G16</f>
        <v>450</v>
      </c>
      <c r="I16" s="13" t="s">
        <v>198</v>
      </c>
    </row>
    <row r="17" spans="1:9" s="13" customFormat="1">
      <c r="A17" s="13" t="s">
        <v>192</v>
      </c>
      <c r="F17" s="114">
        <v>900</v>
      </c>
      <c r="G17" s="114"/>
      <c r="H17" s="114">
        <v>900</v>
      </c>
    </row>
    <row r="18" spans="1:9">
      <c r="F18" s="32" t="s">
        <v>60</v>
      </c>
      <c r="G18" s="78">
        <f>SUM(G11:G16)</f>
        <v>7534.5</v>
      </c>
      <c r="H18" s="78">
        <f>SUM(H11:H15)</f>
        <v>11719.5</v>
      </c>
    </row>
    <row r="20" spans="1:9">
      <c r="A20" t="s">
        <v>44</v>
      </c>
    </row>
    <row r="21" spans="1:9">
      <c r="A21" t="s">
        <v>45</v>
      </c>
    </row>
    <row r="22" spans="1:9">
      <c r="F22" t="s">
        <v>190</v>
      </c>
      <c r="I22" t="s">
        <v>59</v>
      </c>
    </row>
    <row r="23" spans="1:9">
      <c r="F23" t="s">
        <v>187</v>
      </c>
      <c r="H23" s="12">
        <v>6200</v>
      </c>
    </row>
    <row r="24" spans="1:9">
      <c r="F24" s="79" t="s">
        <v>188</v>
      </c>
      <c r="H24">
        <v>0</v>
      </c>
    </row>
    <row r="25" spans="1:9">
      <c r="F25" t="s">
        <v>189</v>
      </c>
      <c r="H25">
        <f>1350+450</f>
        <v>1800</v>
      </c>
      <c r="I25" t="s">
        <v>199</v>
      </c>
    </row>
    <row r="26" spans="1:9">
      <c r="H26" s="12">
        <f>10000-SUM(H23:H25)</f>
        <v>2000</v>
      </c>
    </row>
    <row r="29" spans="1:9">
      <c r="C29">
        <f>2361/0.75</f>
        <v>3148</v>
      </c>
    </row>
    <row r="30" spans="1:9">
      <c r="C30">
        <f>C29-2361</f>
        <v>787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7"/>
  <sheetViews>
    <sheetView zoomScaleNormal="100" workbookViewId="0">
      <selection activeCell="D9" sqref="D9"/>
    </sheetView>
  </sheetViews>
  <sheetFormatPr defaultRowHeight="15"/>
  <cols>
    <col min="1" max="1" width="38.5703125" bestFit="1" customWidth="1"/>
    <col min="2" max="2" width="14.28515625" bestFit="1" customWidth="1"/>
    <col min="3" max="3" width="14" bestFit="1" customWidth="1"/>
    <col min="4" max="4" width="28.42578125" style="35" customWidth="1"/>
  </cols>
  <sheetData>
    <row r="1" spans="1:4">
      <c r="A1" t="s">
        <v>0</v>
      </c>
    </row>
    <row r="3" spans="1:4">
      <c r="A3" t="s">
        <v>1</v>
      </c>
    </row>
    <row r="5" spans="1:4">
      <c r="B5" s="37" t="s">
        <v>49</v>
      </c>
      <c r="C5" s="41" t="s">
        <v>52</v>
      </c>
      <c r="D5" s="35" t="s">
        <v>22</v>
      </c>
    </row>
    <row r="6" spans="1:4">
      <c r="A6" s="13" t="s">
        <v>2</v>
      </c>
      <c r="B6" s="38"/>
      <c r="C6" s="42"/>
    </row>
    <row r="7" spans="1:4">
      <c r="A7" t="s">
        <v>36</v>
      </c>
      <c r="B7" s="38"/>
      <c r="C7" s="42">
        <v>49020</v>
      </c>
    </row>
    <row r="8" spans="1:4">
      <c r="A8" t="s">
        <v>37</v>
      </c>
      <c r="B8" s="38"/>
      <c r="C8" s="42">
        <v>15588</v>
      </c>
      <c r="D8" s="35" t="s">
        <v>95</v>
      </c>
    </row>
    <row r="9" spans="1:4">
      <c r="A9" t="s">
        <v>41</v>
      </c>
      <c r="B9" s="38"/>
      <c r="C9" s="42">
        <v>3000</v>
      </c>
      <c r="D9" s="35" t="s">
        <v>43</v>
      </c>
    </row>
    <row r="10" spans="1:4">
      <c r="A10" s="1" t="s">
        <v>42</v>
      </c>
      <c r="B10" s="38"/>
      <c r="C10" s="42">
        <v>1000</v>
      </c>
      <c r="D10" s="35" t="s">
        <v>61</v>
      </c>
    </row>
    <row r="11" spans="1:4">
      <c r="A11" s="28" t="s">
        <v>40</v>
      </c>
      <c r="B11" s="38"/>
      <c r="C11" s="42">
        <v>4000</v>
      </c>
      <c r="D11" s="35" t="s">
        <v>92</v>
      </c>
    </row>
    <row r="12" spans="1:4">
      <c r="A12" s="28" t="s">
        <v>62</v>
      </c>
      <c r="B12" s="38"/>
      <c r="C12" s="42">
        <v>3500</v>
      </c>
      <c r="D12" s="35" t="s">
        <v>63</v>
      </c>
    </row>
    <row r="13" spans="1:4">
      <c r="A13" s="28" t="s">
        <v>35</v>
      </c>
      <c r="B13" s="38"/>
      <c r="C13" s="42">
        <v>2200</v>
      </c>
      <c r="D13" s="35" t="s">
        <v>54</v>
      </c>
    </row>
    <row r="14" spans="1:4">
      <c r="A14" s="2" t="s">
        <v>68</v>
      </c>
      <c r="B14" s="39"/>
      <c r="C14" s="43">
        <f>1200*5</f>
        <v>6000</v>
      </c>
      <c r="D14" s="35" t="s">
        <v>67</v>
      </c>
    </row>
    <row r="15" spans="1:4">
      <c r="B15" s="46">
        <v>58790</v>
      </c>
      <c r="C15" s="44">
        <f>SUM(C7:C14)</f>
        <v>84308</v>
      </c>
    </row>
    <row r="16" spans="1:4">
      <c r="A16" s="13" t="s">
        <v>3</v>
      </c>
      <c r="B16" s="38"/>
      <c r="C16" s="42"/>
    </row>
    <row r="17" spans="1:4">
      <c r="A17" t="s">
        <v>38</v>
      </c>
      <c r="B17" s="38"/>
      <c r="C17" s="42">
        <v>18274</v>
      </c>
    </row>
    <row r="18" spans="1:4">
      <c r="A18" t="s">
        <v>39</v>
      </c>
      <c r="B18" s="38"/>
      <c r="C18" s="42">
        <v>12720</v>
      </c>
      <c r="D18" s="35" t="s">
        <v>46</v>
      </c>
    </row>
    <row r="19" spans="1:4">
      <c r="A19" s="2" t="s">
        <v>69</v>
      </c>
      <c r="B19" s="39"/>
      <c r="C19" s="43">
        <v>600</v>
      </c>
    </row>
    <row r="20" spans="1:4">
      <c r="B20" s="46">
        <v>18274</v>
      </c>
      <c r="C20" s="44">
        <f>SUM(C17:C19)</f>
        <v>31594</v>
      </c>
    </row>
    <row r="21" spans="1:4">
      <c r="A21" s="13" t="s">
        <v>23</v>
      </c>
      <c r="B21" s="47"/>
      <c r="C21" s="44"/>
    </row>
    <row r="22" spans="1:4" s="23" customFormat="1">
      <c r="A22" s="19" t="s">
        <v>27</v>
      </c>
      <c r="B22" s="48"/>
      <c r="C22" s="49"/>
      <c r="D22" s="36"/>
    </row>
    <row r="23" spans="1:4">
      <c r="A23" s="17" t="s">
        <v>11</v>
      </c>
      <c r="B23" s="38"/>
      <c r="C23" s="42">
        <v>400</v>
      </c>
    </row>
    <row r="24" spans="1:4">
      <c r="A24" s="18" t="s">
        <v>14</v>
      </c>
      <c r="B24" s="39"/>
      <c r="C24" s="43">
        <v>400</v>
      </c>
    </row>
    <row r="25" spans="1:4">
      <c r="A25" s="17"/>
      <c r="B25" s="46"/>
      <c r="C25" s="44">
        <f>SUM(C23:C24)</f>
        <v>800</v>
      </c>
    </row>
    <row r="26" spans="1:4" s="23" customFormat="1">
      <c r="A26" s="24" t="s">
        <v>28</v>
      </c>
      <c r="B26" s="48"/>
      <c r="C26" s="49"/>
      <c r="D26" s="36"/>
    </row>
    <row r="27" spans="1:4">
      <c r="A27" s="17" t="s">
        <v>4</v>
      </c>
      <c r="B27" s="38"/>
      <c r="C27" s="42">
        <v>600</v>
      </c>
      <c r="D27" s="35" t="s">
        <v>15</v>
      </c>
    </row>
    <row r="28" spans="1:4">
      <c r="A28" s="17" t="s">
        <v>64</v>
      </c>
      <c r="B28" s="38"/>
      <c r="C28" s="42">
        <f>150*3</f>
        <v>450</v>
      </c>
      <c r="D28" s="35" t="s">
        <v>65</v>
      </c>
    </row>
    <row r="29" spans="1:4">
      <c r="A29" s="17" t="s">
        <v>5</v>
      </c>
      <c r="B29" s="38"/>
      <c r="C29" s="42">
        <v>500</v>
      </c>
    </row>
    <row r="30" spans="1:4">
      <c r="A30" s="17" t="s">
        <v>17</v>
      </c>
      <c r="B30" s="38"/>
      <c r="C30" s="42">
        <v>3200</v>
      </c>
      <c r="D30" s="35" t="s">
        <v>72</v>
      </c>
    </row>
    <row r="31" spans="1:4">
      <c r="A31" s="17" t="s">
        <v>18</v>
      </c>
      <c r="B31" s="38"/>
      <c r="C31" s="42">
        <v>16800</v>
      </c>
      <c r="D31" s="35" t="s">
        <v>93</v>
      </c>
    </row>
    <row r="32" spans="1:4">
      <c r="A32" s="17" t="s">
        <v>19</v>
      </c>
      <c r="B32" s="38"/>
      <c r="C32" s="42">
        <v>2000</v>
      </c>
    </row>
    <row r="33" spans="1:4">
      <c r="A33" s="17" t="s">
        <v>32</v>
      </c>
      <c r="B33" s="38"/>
      <c r="C33" s="42">
        <v>1500</v>
      </c>
    </row>
    <row r="34" spans="1:4">
      <c r="A34" s="17" t="s">
        <v>20</v>
      </c>
      <c r="B34" s="38"/>
      <c r="C34" s="42">
        <v>4000</v>
      </c>
    </row>
    <row r="35" spans="1:4">
      <c r="A35" s="18" t="s">
        <v>29</v>
      </c>
      <c r="B35" s="39"/>
      <c r="C35" s="43">
        <v>4000</v>
      </c>
      <c r="D35" s="35" t="s">
        <v>66</v>
      </c>
    </row>
    <row r="36" spans="1:4">
      <c r="A36" s="17"/>
      <c r="B36" s="46"/>
      <c r="C36" s="44">
        <f>SUM(C27:C35)</f>
        <v>33050</v>
      </c>
    </row>
    <row r="37" spans="1:4" s="23" customFormat="1">
      <c r="A37" s="24" t="s">
        <v>30</v>
      </c>
      <c r="B37" s="48"/>
      <c r="C37" s="49"/>
      <c r="D37" s="36"/>
    </row>
    <row r="38" spans="1:4">
      <c r="A38" s="17" t="s">
        <v>79</v>
      </c>
      <c r="B38" s="38"/>
      <c r="C38" s="42">
        <v>700</v>
      </c>
      <c r="D38" s="35" t="s">
        <v>91</v>
      </c>
    </row>
    <row r="39" spans="1:4">
      <c r="A39" s="17" t="s">
        <v>10</v>
      </c>
      <c r="B39" s="38"/>
      <c r="C39" s="42">
        <v>0</v>
      </c>
      <c r="D39" s="35" t="s">
        <v>16</v>
      </c>
    </row>
    <row r="40" spans="1:4">
      <c r="A40" s="17" t="s">
        <v>21</v>
      </c>
      <c r="B40" s="38"/>
      <c r="C40" s="42">
        <v>300</v>
      </c>
      <c r="D40" s="35" t="s">
        <v>73</v>
      </c>
    </row>
    <row r="41" spans="1:4">
      <c r="A41" s="17" t="s">
        <v>31</v>
      </c>
      <c r="B41" s="38"/>
      <c r="C41" s="42">
        <v>100</v>
      </c>
      <c r="D41" s="35" t="s">
        <v>74</v>
      </c>
    </row>
    <row r="42" spans="1:4">
      <c r="A42" s="18" t="s">
        <v>70</v>
      </c>
      <c r="B42" s="39"/>
      <c r="C42" s="43">
        <v>500</v>
      </c>
    </row>
    <row r="43" spans="1:4">
      <c r="A43" s="28"/>
      <c r="B43" s="46"/>
      <c r="C43" s="44">
        <f>SUM(C38:C42)</f>
        <v>1600</v>
      </c>
    </row>
    <row r="44" spans="1:4" s="23" customFormat="1">
      <c r="A44" s="19" t="s">
        <v>33</v>
      </c>
      <c r="B44" s="48"/>
      <c r="C44" s="49"/>
      <c r="D44" s="36"/>
    </row>
    <row r="45" spans="1:4">
      <c r="A45" s="17" t="s">
        <v>12</v>
      </c>
      <c r="B45" s="38"/>
      <c r="C45" s="42">
        <v>3000</v>
      </c>
    </row>
    <row r="46" spans="1:4">
      <c r="A46" s="17" t="s">
        <v>76</v>
      </c>
      <c r="B46" s="38"/>
      <c r="C46" s="42">
        <v>3450</v>
      </c>
      <c r="D46" s="35" t="s">
        <v>77</v>
      </c>
    </row>
    <row r="47" spans="1:4">
      <c r="A47" s="17" t="s">
        <v>13</v>
      </c>
      <c r="B47" s="38"/>
      <c r="C47" s="42">
        <v>150</v>
      </c>
    </row>
    <row r="48" spans="1:4">
      <c r="A48" s="18" t="s">
        <v>78</v>
      </c>
      <c r="B48" s="39"/>
      <c r="C48" s="43">
        <v>1200</v>
      </c>
    </row>
    <row r="49" spans="1:4">
      <c r="A49" s="28"/>
      <c r="B49" s="46"/>
      <c r="C49" s="44">
        <f>SUM(C45:C48)</f>
        <v>7800</v>
      </c>
    </row>
    <row r="50" spans="1:4" s="23" customFormat="1">
      <c r="A50" s="24" t="s">
        <v>34</v>
      </c>
      <c r="B50" s="48"/>
      <c r="C50" s="49"/>
      <c r="D50" s="36"/>
    </row>
    <row r="51" spans="1:4">
      <c r="A51" s="17" t="s">
        <v>26</v>
      </c>
      <c r="B51" s="38"/>
      <c r="C51" s="42">
        <v>800</v>
      </c>
      <c r="D51" s="35" t="s">
        <v>24</v>
      </c>
    </row>
    <row r="52" spans="1:4">
      <c r="A52" s="18" t="s">
        <v>9</v>
      </c>
      <c r="B52" s="39"/>
      <c r="C52" s="43">
        <v>1500</v>
      </c>
      <c r="D52" s="35" t="s">
        <v>25</v>
      </c>
    </row>
    <row r="53" spans="1:4">
      <c r="A53" s="28"/>
      <c r="B53" s="46">
        <v>17642</v>
      </c>
      <c r="C53" s="44">
        <f>SUM(C51:C52)</f>
        <v>2300</v>
      </c>
    </row>
    <row r="54" spans="1:4">
      <c r="B54" s="38"/>
      <c r="C54" s="42"/>
    </row>
    <row r="55" spans="1:4">
      <c r="A55" t="s">
        <v>6</v>
      </c>
      <c r="B55" s="40">
        <f>SUM(B6:B52)</f>
        <v>77064</v>
      </c>
      <c r="C55" s="45">
        <f>SUM(C53+C49+C43+C36+C25+C20+C15)</f>
        <v>161452</v>
      </c>
    </row>
    <row r="57" spans="1:4">
      <c r="B57" t="s">
        <v>94</v>
      </c>
      <c r="C57">
        <f>C55-B55</f>
        <v>84388</v>
      </c>
      <c r="D57" s="35" t="s">
        <v>71</v>
      </c>
    </row>
  </sheetData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zoomScale="60" zoomScaleNormal="100" workbookViewId="0">
      <selection activeCell="A17" sqref="A17:XFD17"/>
    </sheetView>
  </sheetViews>
  <sheetFormatPr defaultRowHeight="15"/>
  <cols>
    <col min="1" max="1" width="40.5703125" customWidth="1"/>
    <col min="2" max="2" width="20.85546875" bestFit="1" customWidth="1"/>
    <col min="3" max="3" width="20.140625" bestFit="1" customWidth="1"/>
  </cols>
  <sheetData>
    <row r="1" spans="1:4" s="13" customFormat="1">
      <c r="A1" s="13" t="s">
        <v>152</v>
      </c>
      <c r="D1" s="67"/>
    </row>
    <row r="2" spans="1:4" s="13" customFormat="1">
      <c r="A2" s="13" t="s">
        <v>137</v>
      </c>
      <c r="D2" s="67"/>
    </row>
    <row r="3" spans="1:4">
      <c r="D3" s="35"/>
    </row>
    <row r="4" spans="1:4">
      <c r="B4" s="68" t="s">
        <v>49</v>
      </c>
      <c r="C4" s="69" t="s">
        <v>52</v>
      </c>
      <c r="D4" s="35" t="s">
        <v>22</v>
      </c>
    </row>
    <row r="5" spans="1:4">
      <c r="A5" s="13" t="s">
        <v>2</v>
      </c>
      <c r="B5" s="38"/>
      <c r="C5" s="55"/>
      <c r="D5" s="35"/>
    </row>
    <row r="6" spans="1:4">
      <c r="A6" t="s">
        <v>36</v>
      </c>
      <c r="B6" s="61">
        <v>49020</v>
      </c>
      <c r="C6" s="56">
        <v>49020</v>
      </c>
      <c r="D6" s="35"/>
    </row>
    <row r="7" spans="1:4">
      <c r="A7" t="s">
        <v>37</v>
      </c>
      <c r="B7" s="61">
        <v>0</v>
      </c>
      <c r="C7" s="56">
        <v>15588</v>
      </c>
      <c r="D7" s="35" t="s">
        <v>112</v>
      </c>
    </row>
    <row r="8" spans="1:4">
      <c r="A8" t="s">
        <v>41</v>
      </c>
      <c r="B8" s="61">
        <v>1517</v>
      </c>
      <c r="C8" s="56">
        <v>3000</v>
      </c>
      <c r="D8" s="35" t="s">
        <v>43</v>
      </c>
    </row>
    <row r="9" spans="1:4">
      <c r="A9" s="1" t="s">
        <v>42</v>
      </c>
      <c r="B9" s="61">
        <f>B14-(B8+B6)</f>
        <v>8253</v>
      </c>
      <c r="C9" s="56">
        <v>1000</v>
      </c>
      <c r="D9" s="35" t="s">
        <v>96</v>
      </c>
    </row>
    <row r="10" spans="1:4">
      <c r="A10" s="28" t="s">
        <v>40</v>
      </c>
      <c r="B10" s="61">
        <v>0</v>
      </c>
      <c r="C10" s="56">
        <v>4000</v>
      </c>
      <c r="D10" s="35" t="s">
        <v>140</v>
      </c>
    </row>
    <row r="11" spans="1:4">
      <c r="A11" s="28" t="s">
        <v>62</v>
      </c>
      <c r="B11" s="61">
        <v>0</v>
      </c>
      <c r="C11" s="56">
        <v>3500</v>
      </c>
      <c r="D11" s="35" t="s">
        <v>63</v>
      </c>
    </row>
    <row r="12" spans="1:4">
      <c r="A12" s="28" t="s">
        <v>35</v>
      </c>
      <c r="B12" s="61">
        <v>0</v>
      </c>
      <c r="C12" s="56">
        <v>2300</v>
      </c>
      <c r="D12" s="35" t="s">
        <v>108</v>
      </c>
    </row>
    <row r="13" spans="1:4">
      <c r="A13" s="2" t="s">
        <v>132</v>
      </c>
      <c r="B13" s="62">
        <v>0</v>
      </c>
      <c r="C13" s="57">
        <f>1200*5</f>
        <v>6000</v>
      </c>
      <c r="D13" s="35" t="s">
        <v>110</v>
      </c>
    </row>
    <row r="14" spans="1:4">
      <c r="A14" s="50" t="s">
        <v>47</v>
      </c>
      <c r="B14" s="63">
        <v>58790</v>
      </c>
      <c r="C14" s="58">
        <f>SUM(C6:C13)</f>
        <v>84408</v>
      </c>
      <c r="D14" s="35"/>
    </row>
    <row r="15" spans="1:4">
      <c r="A15" s="13" t="s">
        <v>3</v>
      </c>
      <c r="B15" s="61"/>
      <c r="C15" s="56"/>
      <c r="D15" s="35"/>
    </row>
    <row r="16" spans="1:4">
      <c r="A16" t="s">
        <v>38</v>
      </c>
      <c r="B16" s="61">
        <v>18274</v>
      </c>
      <c r="C16" s="56">
        <v>18274</v>
      </c>
      <c r="D16" s="35"/>
    </row>
    <row r="17" spans="1:7">
      <c r="A17" t="s">
        <v>39</v>
      </c>
      <c r="B17" s="61">
        <v>0</v>
      </c>
      <c r="C17" s="56">
        <v>12720</v>
      </c>
      <c r="D17" s="35" t="s">
        <v>111</v>
      </c>
    </row>
    <row r="18" spans="1:7">
      <c r="A18" s="2" t="s">
        <v>69</v>
      </c>
      <c r="B18" s="62">
        <v>0</v>
      </c>
      <c r="C18" s="57">
        <v>600</v>
      </c>
      <c r="D18" s="35" t="s">
        <v>113</v>
      </c>
    </row>
    <row r="19" spans="1:7">
      <c r="A19" s="50" t="s">
        <v>47</v>
      </c>
      <c r="B19" s="64">
        <f>SUM(B16:B18)</f>
        <v>18274</v>
      </c>
      <c r="C19" s="58">
        <f>SUM(C16:C18)</f>
        <v>31594</v>
      </c>
      <c r="D19" s="35"/>
    </row>
    <row r="20" spans="1:7">
      <c r="A20" s="13" t="s">
        <v>23</v>
      </c>
      <c r="B20" s="61"/>
      <c r="C20" s="58"/>
      <c r="D20" s="35"/>
    </row>
    <row r="21" spans="1:7">
      <c r="A21" s="19" t="s">
        <v>27</v>
      </c>
      <c r="B21" s="65"/>
      <c r="C21" s="59"/>
      <c r="D21" s="36"/>
      <c r="E21" s="23"/>
      <c r="F21" s="23"/>
      <c r="G21" s="23"/>
    </row>
    <row r="22" spans="1:7">
      <c r="A22" s="17" t="s">
        <v>11</v>
      </c>
      <c r="B22" s="61"/>
      <c r="C22" s="56">
        <v>400</v>
      </c>
      <c r="D22" s="35"/>
    </row>
    <row r="23" spans="1:7">
      <c r="A23" s="18" t="s">
        <v>14</v>
      </c>
      <c r="B23" s="62"/>
      <c r="C23" s="57">
        <v>400</v>
      </c>
      <c r="D23" s="35"/>
    </row>
    <row r="24" spans="1:7">
      <c r="A24" s="50" t="s">
        <v>47</v>
      </c>
      <c r="B24" s="64" t="s">
        <v>133</v>
      </c>
      <c r="C24" s="58">
        <f>SUM(C22:C23)</f>
        <v>800</v>
      </c>
      <c r="D24" s="35"/>
    </row>
    <row r="25" spans="1:7">
      <c r="A25" s="24" t="s">
        <v>28</v>
      </c>
      <c r="B25" s="65"/>
      <c r="C25" s="59"/>
      <c r="D25" s="36"/>
      <c r="E25" s="23"/>
      <c r="F25" s="23"/>
      <c r="G25" s="23"/>
    </row>
    <row r="26" spans="1:7">
      <c r="A26" s="17" t="s">
        <v>4</v>
      </c>
      <c r="B26" s="61"/>
      <c r="C26" s="56">
        <v>600</v>
      </c>
      <c r="D26" s="35" t="s">
        <v>15</v>
      </c>
    </row>
    <row r="27" spans="1:7">
      <c r="A27" s="17" t="s">
        <v>64</v>
      </c>
      <c r="B27" s="61"/>
      <c r="C27" s="56">
        <f>150*3</f>
        <v>450</v>
      </c>
      <c r="D27" s="35" t="s">
        <v>65</v>
      </c>
    </row>
    <row r="28" spans="1:7">
      <c r="A28" s="17" t="s">
        <v>5</v>
      </c>
      <c r="B28" s="61"/>
      <c r="C28" s="56">
        <v>500</v>
      </c>
      <c r="D28" s="35"/>
    </row>
    <row r="29" spans="1:7">
      <c r="A29" s="17" t="s">
        <v>17</v>
      </c>
      <c r="B29" s="61"/>
      <c r="C29" s="56">
        <v>3200</v>
      </c>
      <c r="D29" s="35" t="s">
        <v>72</v>
      </c>
    </row>
    <row r="30" spans="1:7">
      <c r="A30" s="17" t="s">
        <v>118</v>
      </c>
      <c r="B30" s="61"/>
      <c r="C30" s="56">
        <v>16800</v>
      </c>
      <c r="D30" s="35" t="s">
        <v>141</v>
      </c>
    </row>
    <row r="31" spans="1:7">
      <c r="A31" s="17" t="s">
        <v>19</v>
      </c>
      <c r="B31" s="61"/>
      <c r="C31" s="56">
        <v>2000</v>
      </c>
      <c r="D31" s="35"/>
    </row>
    <row r="32" spans="1:7">
      <c r="A32" s="17" t="s">
        <v>32</v>
      </c>
      <c r="B32" s="61"/>
      <c r="C32" s="56">
        <v>1500</v>
      </c>
      <c r="D32" s="35"/>
    </row>
    <row r="33" spans="1:7">
      <c r="A33" s="17" t="s">
        <v>20</v>
      </c>
      <c r="B33" s="61"/>
      <c r="C33" s="56">
        <v>4000</v>
      </c>
      <c r="D33" s="35"/>
    </row>
    <row r="34" spans="1:7">
      <c r="A34" s="18" t="s">
        <v>29</v>
      </c>
      <c r="B34" s="62"/>
      <c r="C34" s="57">
        <v>4000</v>
      </c>
      <c r="D34" s="35" t="s">
        <v>66</v>
      </c>
    </row>
    <row r="35" spans="1:7">
      <c r="A35" s="50" t="s">
        <v>47</v>
      </c>
      <c r="B35" s="64" t="s">
        <v>131</v>
      </c>
      <c r="C35" s="58">
        <f>SUM(C26:C34)</f>
        <v>33050</v>
      </c>
      <c r="D35" s="35"/>
    </row>
    <row r="36" spans="1:7">
      <c r="A36" s="24" t="s">
        <v>30</v>
      </c>
      <c r="B36" s="65"/>
      <c r="C36" s="59"/>
      <c r="D36" s="36"/>
      <c r="E36" s="23"/>
      <c r="F36" s="23"/>
      <c r="G36" s="23"/>
    </row>
    <row r="37" spans="1:7">
      <c r="A37" s="17" t="s">
        <v>138</v>
      </c>
      <c r="B37" s="61"/>
      <c r="C37" s="56">
        <v>700</v>
      </c>
      <c r="D37" s="35" t="s">
        <v>139</v>
      </c>
    </row>
    <row r="38" spans="1:7">
      <c r="A38" s="17" t="s">
        <v>10</v>
      </c>
      <c r="B38" s="61"/>
      <c r="C38" s="56">
        <v>0</v>
      </c>
      <c r="D38" s="35" t="s">
        <v>16</v>
      </c>
    </row>
    <row r="39" spans="1:7">
      <c r="A39" s="17" t="s">
        <v>21</v>
      </c>
      <c r="B39" s="61"/>
      <c r="C39" s="56">
        <v>300</v>
      </c>
      <c r="D39" s="35" t="s">
        <v>73</v>
      </c>
    </row>
    <row r="40" spans="1:7">
      <c r="A40" s="17" t="s">
        <v>31</v>
      </c>
      <c r="B40" s="61"/>
      <c r="C40" s="56">
        <v>100</v>
      </c>
      <c r="D40" s="35" t="s">
        <v>74</v>
      </c>
    </row>
    <row r="41" spans="1:7">
      <c r="A41" s="18" t="s">
        <v>70</v>
      </c>
      <c r="B41" s="62"/>
      <c r="C41" s="57">
        <v>500</v>
      </c>
      <c r="D41" s="35"/>
    </row>
    <row r="42" spans="1:7">
      <c r="A42" s="50" t="s">
        <v>47</v>
      </c>
      <c r="B42" s="64" t="s">
        <v>131</v>
      </c>
      <c r="C42" s="58">
        <f>SUM(C37:C41)</f>
        <v>1600</v>
      </c>
      <c r="D42" s="35"/>
    </row>
    <row r="43" spans="1:7">
      <c r="A43" s="19" t="s">
        <v>33</v>
      </c>
      <c r="B43" s="65"/>
      <c r="C43" s="59"/>
      <c r="D43" s="36"/>
      <c r="E43" s="23"/>
      <c r="F43" s="23"/>
      <c r="G43" s="23"/>
    </row>
    <row r="44" spans="1:7">
      <c r="A44" s="17" t="s">
        <v>13</v>
      </c>
      <c r="B44" s="61"/>
      <c r="C44" s="56">
        <v>150</v>
      </c>
      <c r="D44" s="35" t="s">
        <v>120</v>
      </c>
    </row>
    <row r="45" spans="1:7">
      <c r="A45" s="18" t="s">
        <v>78</v>
      </c>
      <c r="B45" s="62"/>
      <c r="C45" s="57">
        <v>1200</v>
      </c>
      <c r="D45" s="35"/>
    </row>
    <row r="46" spans="1:7">
      <c r="A46" s="50" t="s">
        <v>47</v>
      </c>
      <c r="B46" s="64" t="s">
        <v>131</v>
      </c>
      <c r="C46" s="58">
        <f>SUM(C44:C45)</f>
        <v>1350</v>
      </c>
      <c r="D46" s="35"/>
    </row>
    <row r="47" spans="1:7">
      <c r="A47" s="24" t="s">
        <v>34</v>
      </c>
      <c r="B47" s="65"/>
      <c r="C47" s="59"/>
      <c r="D47" s="36"/>
      <c r="E47" s="23"/>
      <c r="F47" s="23"/>
      <c r="G47" s="23"/>
    </row>
    <row r="48" spans="1:7">
      <c r="A48" s="17" t="s">
        <v>26</v>
      </c>
      <c r="B48" s="61"/>
      <c r="C48" s="56">
        <v>1800</v>
      </c>
      <c r="D48" s="35" t="s">
        <v>121</v>
      </c>
    </row>
    <row r="49" spans="1:4">
      <c r="A49" s="18" t="s">
        <v>9</v>
      </c>
      <c r="B49" s="62"/>
      <c r="C49" s="57">
        <v>1500</v>
      </c>
      <c r="D49" s="35" t="s">
        <v>25</v>
      </c>
    </row>
    <row r="50" spans="1:4">
      <c r="A50" s="50" t="s">
        <v>47</v>
      </c>
      <c r="B50" s="64" t="s">
        <v>131</v>
      </c>
      <c r="C50" s="58">
        <f>SUM(C48:C49)</f>
        <v>3300</v>
      </c>
      <c r="D50" s="35"/>
    </row>
    <row r="51" spans="1:4">
      <c r="A51" s="51" t="s">
        <v>130</v>
      </c>
      <c r="B51" s="65">
        <v>17642</v>
      </c>
      <c r="C51" s="59">
        <f>C50+C46+C42+C35+C24</f>
        <v>40100</v>
      </c>
      <c r="D51" s="35"/>
    </row>
    <row r="52" spans="1:4">
      <c r="A52" s="52" t="s">
        <v>135</v>
      </c>
      <c r="B52" s="66">
        <f>B51+B19+B14</f>
        <v>94706</v>
      </c>
      <c r="C52" s="60">
        <f>SUM(C50+C46+C42+C35+C24+C19+C14)</f>
        <v>156102</v>
      </c>
      <c r="D52" s="35"/>
    </row>
    <row r="53" spans="1:4">
      <c r="B53" s="53"/>
      <c r="C53" s="53"/>
      <c r="D53" s="35"/>
    </row>
    <row r="54" spans="1:4">
      <c r="B54" s="54" t="s">
        <v>136</v>
      </c>
      <c r="C54" s="70">
        <f>C52-B52</f>
        <v>61396</v>
      </c>
      <c r="D54" s="36" t="s">
        <v>129</v>
      </c>
    </row>
    <row r="55" spans="1:4">
      <c r="D55" s="35"/>
    </row>
    <row r="56" spans="1:4">
      <c r="A56" s="35" t="s">
        <v>134</v>
      </c>
      <c r="D56" s="35"/>
    </row>
  </sheetData>
  <pageMargins left="0.25" right="0.25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2"/>
  <sheetViews>
    <sheetView topLeftCell="A7" zoomScaleNormal="100" workbookViewId="0">
      <selection activeCell="E50" sqref="E50"/>
    </sheetView>
  </sheetViews>
  <sheetFormatPr defaultRowHeight="12.75"/>
  <cols>
    <col min="1" max="1" width="32.42578125" style="82" customWidth="1"/>
    <col min="2" max="2" width="13.28515625" style="82" customWidth="1"/>
    <col min="3" max="3" width="14.42578125" style="82" customWidth="1"/>
    <col min="4" max="4" width="12.85546875" style="82" customWidth="1"/>
    <col min="5" max="16384" width="9.140625" style="82"/>
  </cols>
  <sheetData>
    <row r="1" spans="1:8" s="81" customFormat="1">
      <c r="A1" s="81" t="s">
        <v>152</v>
      </c>
    </row>
    <row r="2" spans="1:8" s="81" customFormat="1">
      <c r="A2" s="81" t="s">
        <v>1</v>
      </c>
    </row>
    <row r="3" spans="1:8">
      <c r="B3" s="83" t="s">
        <v>49</v>
      </c>
      <c r="C3" s="84" t="s">
        <v>52</v>
      </c>
      <c r="D3" s="82" t="s">
        <v>22</v>
      </c>
    </row>
    <row r="4" spans="1:8">
      <c r="A4" s="81" t="s">
        <v>2</v>
      </c>
      <c r="B4" s="85"/>
      <c r="C4" s="86"/>
    </row>
    <row r="5" spans="1:8">
      <c r="A5" s="82" t="s">
        <v>36</v>
      </c>
      <c r="B5" s="87">
        <v>49020</v>
      </c>
      <c r="C5" s="88">
        <v>49020</v>
      </c>
    </row>
    <row r="6" spans="1:8" customFormat="1" ht="15">
      <c r="A6" t="s">
        <v>37</v>
      </c>
      <c r="B6" s="61">
        <v>0</v>
      </c>
      <c r="C6" s="56">
        <v>15588</v>
      </c>
      <c r="D6" s="35" t="s">
        <v>112</v>
      </c>
    </row>
    <row r="7" spans="1:8">
      <c r="A7" s="82" t="s">
        <v>159</v>
      </c>
      <c r="B7" s="87">
        <v>1517</v>
      </c>
      <c r="C7" s="88">
        <v>2100</v>
      </c>
      <c r="D7" s="82" t="s">
        <v>43</v>
      </c>
    </row>
    <row r="8" spans="1:8">
      <c r="A8" s="89" t="s">
        <v>160</v>
      </c>
      <c r="B8" s="87">
        <v>0</v>
      </c>
      <c r="C8" s="88">
        <v>3000</v>
      </c>
      <c r="D8" s="82" t="s">
        <v>163</v>
      </c>
    </row>
    <row r="9" spans="1:8">
      <c r="A9" s="89" t="s">
        <v>162</v>
      </c>
      <c r="B9" s="87">
        <v>0</v>
      </c>
      <c r="C9" s="88">
        <v>3300</v>
      </c>
      <c r="D9" s="82" t="s">
        <v>164</v>
      </c>
    </row>
    <row r="10" spans="1:8">
      <c r="A10" s="89" t="s">
        <v>161</v>
      </c>
      <c r="B10" s="87">
        <v>0</v>
      </c>
      <c r="C10" s="88">
        <v>3500</v>
      </c>
      <c r="D10" s="82" t="s">
        <v>165</v>
      </c>
    </row>
    <row r="11" spans="1:8">
      <c r="A11" s="90" t="s">
        <v>132</v>
      </c>
      <c r="B11" s="91">
        <v>0</v>
      </c>
      <c r="C11" s="92">
        <f>1200*5</f>
        <v>6000</v>
      </c>
      <c r="D11" s="90" t="s">
        <v>110</v>
      </c>
      <c r="E11" s="90"/>
      <c r="F11" s="90"/>
      <c r="G11" s="90"/>
      <c r="H11" s="90"/>
    </row>
    <row r="12" spans="1:8">
      <c r="A12" s="93" t="s">
        <v>47</v>
      </c>
      <c r="B12" s="94">
        <v>58790</v>
      </c>
      <c r="C12" s="95">
        <f>SUM(C5:C11)</f>
        <v>82508</v>
      </c>
      <c r="D12" s="96">
        <f>C12-B12</f>
        <v>23718</v>
      </c>
      <c r="E12" s="81" t="s">
        <v>185</v>
      </c>
    </row>
    <row r="13" spans="1:8">
      <c r="A13" s="81" t="s">
        <v>3</v>
      </c>
      <c r="B13" s="87"/>
      <c r="C13" s="88"/>
    </row>
    <row r="14" spans="1:8">
      <c r="A14" s="82" t="s">
        <v>38</v>
      </c>
      <c r="B14" s="87">
        <v>18274</v>
      </c>
      <c r="C14" s="88">
        <v>18274</v>
      </c>
    </row>
    <row r="15" spans="1:8" customFormat="1" ht="15">
      <c r="A15" t="s">
        <v>39</v>
      </c>
      <c r="B15" s="61">
        <v>0</v>
      </c>
      <c r="C15" s="56">
        <v>12720</v>
      </c>
      <c r="D15" s="35" t="s">
        <v>111</v>
      </c>
    </row>
    <row r="16" spans="1:8">
      <c r="A16" s="90" t="s">
        <v>69</v>
      </c>
      <c r="B16" s="91">
        <v>0</v>
      </c>
      <c r="C16" s="97">
        <v>600</v>
      </c>
      <c r="D16" s="98" t="s">
        <v>113</v>
      </c>
      <c r="E16" s="90"/>
      <c r="F16" s="90"/>
      <c r="G16" s="90"/>
    </row>
    <row r="17" spans="1:13">
      <c r="A17" s="93" t="s">
        <v>47</v>
      </c>
      <c r="B17" s="99">
        <f>SUM(B14:B16)</f>
        <v>18274</v>
      </c>
      <c r="C17" s="95">
        <f>SUM(C14:C16)</f>
        <v>31594</v>
      </c>
      <c r="D17" s="96">
        <f>C17-B17</f>
        <v>13320</v>
      </c>
      <c r="E17" s="81" t="s">
        <v>185</v>
      </c>
    </row>
    <row r="18" spans="1:13">
      <c r="A18" s="81" t="s">
        <v>23</v>
      </c>
      <c r="B18" s="87"/>
      <c r="C18" s="95"/>
    </row>
    <row r="19" spans="1:13">
      <c r="A19" s="100" t="s">
        <v>27</v>
      </c>
      <c r="B19" s="101"/>
      <c r="C19" s="102"/>
      <c r="D19" s="103"/>
      <c r="E19" s="103"/>
      <c r="F19" s="103"/>
      <c r="G19" s="103"/>
    </row>
    <row r="20" spans="1:13">
      <c r="A20" s="104" t="s">
        <v>11</v>
      </c>
      <c r="B20" s="87"/>
      <c r="C20" s="88">
        <v>400</v>
      </c>
    </row>
    <row r="21" spans="1:13">
      <c r="A21" s="105" t="s">
        <v>14</v>
      </c>
      <c r="B21" s="91"/>
      <c r="C21" s="97">
        <v>400</v>
      </c>
    </row>
    <row r="22" spans="1:13">
      <c r="A22" s="93" t="s">
        <v>47</v>
      </c>
      <c r="B22" s="99" t="s">
        <v>133</v>
      </c>
      <c r="C22" s="95">
        <f>SUM(C20:C21)</f>
        <v>800</v>
      </c>
    </row>
    <row r="23" spans="1:13">
      <c r="A23" s="106" t="s">
        <v>28</v>
      </c>
      <c r="B23" s="101"/>
      <c r="C23" s="102"/>
      <c r="D23" s="103"/>
      <c r="E23" s="103"/>
      <c r="F23" s="103"/>
      <c r="G23" s="103"/>
    </row>
    <row r="24" spans="1:13">
      <c r="A24" s="104" t="s">
        <v>4</v>
      </c>
      <c r="B24" s="87"/>
      <c r="C24" s="88">
        <v>600</v>
      </c>
      <c r="D24" s="82" t="s">
        <v>15</v>
      </c>
    </row>
    <row r="25" spans="1:13">
      <c r="A25" s="104" t="s">
        <v>64</v>
      </c>
      <c r="B25" s="87"/>
      <c r="C25" s="88">
        <f>150*3</f>
        <v>450</v>
      </c>
      <c r="D25" s="82" t="s">
        <v>65</v>
      </c>
    </row>
    <row r="26" spans="1:13">
      <c r="A26" s="104" t="s">
        <v>5</v>
      </c>
      <c r="B26" s="87"/>
      <c r="C26" s="88">
        <v>500</v>
      </c>
    </row>
    <row r="27" spans="1:13">
      <c r="A27" s="104" t="s">
        <v>17</v>
      </c>
      <c r="B27" s="87"/>
      <c r="C27" s="88">
        <f>L45</f>
        <v>7200</v>
      </c>
      <c r="D27" s="82" t="s">
        <v>183</v>
      </c>
    </row>
    <row r="28" spans="1:13">
      <c r="A28" s="104" t="s">
        <v>118</v>
      </c>
      <c r="B28" s="87"/>
      <c r="C28" s="88">
        <f>L36</f>
        <v>13760</v>
      </c>
      <c r="D28" s="82" t="s">
        <v>141</v>
      </c>
      <c r="L28" s="82">
        <v>5000</v>
      </c>
      <c r="M28" s="82" t="s">
        <v>166</v>
      </c>
    </row>
    <row r="29" spans="1:13">
      <c r="A29" s="104" t="s">
        <v>184</v>
      </c>
      <c r="B29" s="87"/>
      <c r="C29" s="88">
        <v>2000</v>
      </c>
      <c r="L29" s="82">
        <v>2400</v>
      </c>
      <c r="M29" s="82" t="s">
        <v>167</v>
      </c>
    </row>
    <row r="30" spans="1:13">
      <c r="A30" s="104" t="s">
        <v>32</v>
      </c>
      <c r="B30" s="87"/>
      <c r="C30" s="88">
        <v>1500</v>
      </c>
      <c r="L30" s="82">
        <v>1260</v>
      </c>
      <c r="M30" s="82" t="s">
        <v>168</v>
      </c>
    </row>
    <row r="31" spans="1:13">
      <c r="A31" s="104" t="s">
        <v>20</v>
      </c>
      <c r="B31" s="87"/>
      <c r="C31" s="88">
        <v>4000</v>
      </c>
      <c r="L31" s="82">
        <v>2200</v>
      </c>
      <c r="M31" s="82" t="s">
        <v>169</v>
      </c>
    </row>
    <row r="32" spans="1:13">
      <c r="A32" s="105" t="s">
        <v>29</v>
      </c>
      <c r="B32" s="91"/>
      <c r="C32" s="97">
        <v>4000</v>
      </c>
      <c r="D32" s="82" t="s">
        <v>66</v>
      </c>
      <c r="L32" s="82">
        <v>800</v>
      </c>
      <c r="M32" s="82" t="s">
        <v>170</v>
      </c>
    </row>
    <row r="33" spans="1:13">
      <c r="A33" s="93" t="s">
        <v>47</v>
      </c>
      <c r="B33" s="99" t="s">
        <v>131</v>
      </c>
      <c r="C33" s="95">
        <f>SUM(C24:C32)</f>
        <v>34010</v>
      </c>
      <c r="L33" s="82">
        <v>600</v>
      </c>
      <c r="M33" s="82" t="s">
        <v>171</v>
      </c>
    </row>
    <row r="34" spans="1:13">
      <c r="A34" s="106" t="s">
        <v>30</v>
      </c>
      <c r="B34" s="101"/>
      <c r="C34" s="102"/>
      <c r="D34" s="103"/>
      <c r="E34" s="103"/>
      <c r="F34" s="103"/>
      <c r="G34" s="103"/>
      <c r="L34" s="113">
        <v>500</v>
      </c>
      <c r="M34" s="113" t="s">
        <v>174</v>
      </c>
    </row>
    <row r="35" spans="1:13">
      <c r="A35" s="104" t="s">
        <v>138</v>
      </c>
      <c r="B35" s="87"/>
      <c r="C35" s="88">
        <v>700</v>
      </c>
      <c r="D35" s="82" t="s">
        <v>139</v>
      </c>
      <c r="L35" s="113">
        <v>1000</v>
      </c>
      <c r="M35" s="113" t="s">
        <v>173</v>
      </c>
    </row>
    <row r="36" spans="1:13">
      <c r="A36" s="104" t="s">
        <v>10</v>
      </c>
      <c r="B36" s="87"/>
      <c r="C36" s="88">
        <v>250</v>
      </c>
      <c r="D36" s="82" t="s">
        <v>16</v>
      </c>
      <c r="L36" s="82">
        <f>SUM(L28:L35)</f>
        <v>13760</v>
      </c>
      <c r="M36" s="82" t="s">
        <v>60</v>
      </c>
    </row>
    <row r="37" spans="1:13">
      <c r="A37" s="104" t="s">
        <v>21</v>
      </c>
      <c r="B37" s="87"/>
      <c r="C37" s="88">
        <v>300</v>
      </c>
      <c r="D37" s="82" t="s">
        <v>73</v>
      </c>
    </row>
    <row r="38" spans="1:13">
      <c r="A38" s="104" t="s">
        <v>31</v>
      </c>
      <c r="B38" s="87"/>
      <c r="C38" s="88">
        <v>100</v>
      </c>
      <c r="D38" s="82" t="s">
        <v>74</v>
      </c>
      <c r="L38" s="82">
        <v>1200</v>
      </c>
      <c r="M38" s="82" t="s">
        <v>175</v>
      </c>
    </row>
    <row r="39" spans="1:13">
      <c r="A39" s="105" t="s">
        <v>70</v>
      </c>
      <c r="B39" s="91"/>
      <c r="C39" s="97">
        <v>500</v>
      </c>
      <c r="L39" s="82">
        <v>1000</v>
      </c>
      <c r="M39" s="82" t="s">
        <v>176</v>
      </c>
    </row>
    <row r="40" spans="1:13">
      <c r="A40" s="93" t="s">
        <v>47</v>
      </c>
      <c r="B40" s="99" t="s">
        <v>131</v>
      </c>
      <c r="C40" s="95">
        <f>SUM(C35:C39)</f>
        <v>1850</v>
      </c>
      <c r="L40" s="82">
        <v>1400</v>
      </c>
      <c r="M40" s="82" t="s">
        <v>172</v>
      </c>
    </row>
    <row r="41" spans="1:13">
      <c r="A41" s="100" t="s">
        <v>33</v>
      </c>
      <c r="B41" s="101"/>
      <c r="C41" s="102"/>
      <c r="D41" s="103"/>
      <c r="E41" s="103"/>
      <c r="F41" s="103"/>
      <c r="G41" s="103"/>
      <c r="L41" s="82">
        <v>1500</v>
      </c>
      <c r="M41" s="82" t="s">
        <v>177</v>
      </c>
    </row>
    <row r="42" spans="1:13">
      <c r="A42" s="104" t="s">
        <v>13</v>
      </c>
      <c r="B42" s="87"/>
      <c r="C42" s="88">
        <v>150</v>
      </c>
      <c r="D42" s="82" t="s">
        <v>120</v>
      </c>
      <c r="L42" s="113"/>
      <c r="M42" s="113"/>
    </row>
    <row r="43" spans="1:13">
      <c r="A43" s="105" t="s">
        <v>78</v>
      </c>
      <c r="B43" s="91"/>
      <c r="C43" s="97">
        <v>1200</v>
      </c>
      <c r="L43" s="82">
        <v>1100</v>
      </c>
      <c r="M43" s="82" t="s">
        <v>179</v>
      </c>
    </row>
    <row r="44" spans="1:13">
      <c r="A44" s="93" t="s">
        <v>47</v>
      </c>
      <c r="B44" s="99" t="s">
        <v>131</v>
      </c>
      <c r="C44" s="95">
        <f>SUM(C42:C43)</f>
        <v>1350</v>
      </c>
      <c r="L44" s="82">
        <v>1000</v>
      </c>
      <c r="M44" s="82" t="s">
        <v>178</v>
      </c>
    </row>
    <row r="45" spans="1:13">
      <c r="A45" s="106" t="s">
        <v>34</v>
      </c>
      <c r="B45" s="101"/>
      <c r="C45" s="102"/>
      <c r="D45" s="103"/>
      <c r="E45" s="103"/>
      <c r="F45" s="103"/>
      <c r="G45" s="103"/>
      <c r="L45" s="82">
        <f>SUM(L38:L44)</f>
        <v>7200</v>
      </c>
      <c r="M45" s="82" t="s">
        <v>60</v>
      </c>
    </row>
    <row r="46" spans="1:13">
      <c r="A46" s="104" t="s">
        <v>26</v>
      </c>
      <c r="B46" s="87"/>
      <c r="C46" s="88">
        <v>1200</v>
      </c>
      <c r="D46" s="82" t="s">
        <v>121</v>
      </c>
    </row>
    <row r="47" spans="1:13">
      <c r="A47" s="105" t="s">
        <v>9</v>
      </c>
      <c r="B47" s="91"/>
      <c r="C47" s="97">
        <v>1500</v>
      </c>
      <c r="D47" s="82" t="s">
        <v>25</v>
      </c>
    </row>
    <row r="48" spans="1:13">
      <c r="A48" s="93" t="s">
        <v>47</v>
      </c>
      <c r="B48" s="99" t="s">
        <v>131</v>
      </c>
      <c r="C48" s="95">
        <f>SUM(C46:C47)</f>
        <v>2700</v>
      </c>
    </row>
    <row r="49" spans="1:5">
      <c r="A49" s="107" t="s">
        <v>130</v>
      </c>
      <c r="B49" s="101">
        <v>17642</v>
      </c>
      <c r="C49" s="102">
        <f>C48+C44+C40+C33+C22</f>
        <v>40710</v>
      </c>
      <c r="D49" s="108">
        <f>C49-B49</f>
        <v>23068</v>
      </c>
      <c r="E49" s="103" t="s">
        <v>186</v>
      </c>
    </row>
    <row r="50" spans="1:5">
      <c r="A50" s="109" t="s">
        <v>135</v>
      </c>
      <c r="B50" s="110">
        <f>B49+B17+B12</f>
        <v>94706</v>
      </c>
      <c r="C50" s="111">
        <f>SUM(C48+C44+C40+C33+C22+C17+C12)</f>
        <v>154812</v>
      </c>
      <c r="D50" s="96">
        <f>C50-B50</f>
        <v>60106</v>
      </c>
      <c r="E50" s="81" t="s">
        <v>180</v>
      </c>
    </row>
    <row r="51" spans="1:5">
      <c r="B51" s="112"/>
      <c r="C51" s="112"/>
    </row>
    <row r="52" spans="1:5">
      <c r="A52" s="82" t="s">
        <v>134</v>
      </c>
    </row>
  </sheetData>
  <pageMargins left="0.25" right="0.25" top="0.25" bottom="0.2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25101</vt:lpstr>
      <vt:lpstr>FINAL 25102</vt:lpstr>
      <vt:lpstr>work study</vt:lpstr>
      <vt:lpstr>for faculty</vt:lpstr>
      <vt:lpstr>final 25101</vt:lpstr>
      <vt:lpstr>25101 7.23.12</vt:lpstr>
      <vt:lpstr>'25101'!Print_Titles</vt:lpstr>
      <vt:lpstr>'for faculty'!Print_Titles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cp:lastPrinted>2012-07-23T21:28:09Z</cp:lastPrinted>
  <dcterms:created xsi:type="dcterms:W3CDTF">2012-05-16T23:27:25Z</dcterms:created>
  <dcterms:modified xsi:type="dcterms:W3CDTF">2012-11-16T20:18:02Z</dcterms:modified>
</cp:coreProperties>
</file>