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80" yWindow="0" windowWidth="25320" windowHeight="6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8" i="1"/>
  <c r="D37"/>
  <c r="D36"/>
  <c r="O18"/>
  <c r="M18"/>
  <c r="L18"/>
  <c r="N18" s="1"/>
  <c r="N17"/>
  <c r="G27"/>
  <c r="D28"/>
  <c r="D27"/>
  <c r="E14"/>
  <c r="H15"/>
  <c r="H14"/>
  <c r="D14"/>
  <c r="H16"/>
  <c r="H17"/>
  <c r="H18"/>
  <c r="D15"/>
  <c r="E15" s="1"/>
  <c r="D16"/>
  <c r="E16" s="1"/>
  <c r="E19" s="1"/>
  <c r="D17"/>
  <c r="E17" s="1"/>
  <c r="D18"/>
  <c r="E18" s="1"/>
  <c r="H8"/>
  <c r="H9" s="1"/>
  <c r="O8"/>
  <c r="O20" s="1"/>
  <c r="N7"/>
  <c r="M20"/>
  <c r="L20"/>
  <c r="O19"/>
  <c r="M19"/>
  <c r="M21" s="1"/>
  <c r="L19"/>
  <c r="P17"/>
  <c r="P16"/>
  <c r="N16"/>
  <c r="P15"/>
  <c r="N15"/>
  <c r="P14"/>
  <c r="N14"/>
  <c r="L9"/>
  <c r="L10" s="1"/>
  <c r="N8"/>
  <c r="M9"/>
  <c r="P7"/>
  <c r="G19"/>
  <c r="G21" s="1"/>
  <c r="C19"/>
  <c r="G20"/>
  <c r="B20"/>
  <c r="I15"/>
  <c r="I16"/>
  <c r="I17"/>
  <c r="I18"/>
  <c r="I14"/>
  <c r="F15"/>
  <c r="F16"/>
  <c r="F17"/>
  <c r="F18"/>
  <c r="F14"/>
  <c r="B19"/>
  <c r="B21" s="1"/>
  <c r="G9"/>
  <c r="G10" s="1"/>
  <c r="I8"/>
  <c r="I7"/>
  <c r="F7"/>
  <c r="C8"/>
  <c r="D8" s="1"/>
  <c r="B9"/>
  <c r="B10" s="1"/>
  <c r="F19" l="1"/>
  <c r="P18"/>
  <c r="P8"/>
  <c r="C9"/>
  <c r="B22"/>
  <c r="E22" s="1"/>
  <c r="O9"/>
  <c r="O10" s="1"/>
  <c r="B25"/>
  <c r="E8"/>
  <c r="D9"/>
  <c r="B11" s="1"/>
  <c r="H11" s="1"/>
  <c r="F9"/>
  <c r="C21"/>
  <c r="N19"/>
  <c r="D19"/>
  <c r="I9"/>
  <c r="C10"/>
  <c r="C20"/>
  <c r="F8"/>
  <c r="O21"/>
  <c r="H19"/>
  <c r="G28" s="1"/>
  <c r="M10"/>
  <c r="N9"/>
  <c r="P19"/>
  <c r="L21"/>
  <c r="P9"/>
  <c r="I19"/>
  <c r="E25" l="1"/>
  <c r="B30"/>
  <c r="B23"/>
  <c r="E23" s="1"/>
  <c r="D11"/>
  <c r="B27"/>
  <c r="B24" l="1"/>
  <c r="B29" s="1"/>
  <c r="B28"/>
  <c r="E24"/>
</calcChain>
</file>

<file path=xl/sharedStrings.xml><?xml version="1.0" encoding="utf-8"?>
<sst xmlns="http://schemas.openxmlformats.org/spreadsheetml/2006/main" count="92" uniqueCount="64">
  <si>
    <t>2012 Applicant/Admit Analysis</t>
  </si>
  <si>
    <t>As of June 4, 2012</t>
  </si>
  <si>
    <t>Denied</t>
  </si>
  <si>
    <t>Admitted</t>
  </si>
  <si>
    <t>total apps</t>
  </si>
  <si>
    <t>% admitted</t>
  </si>
  <si>
    <t>nonres</t>
  </si>
  <si>
    <t>TOTAL APPLICANTS</t>
  </si>
  <si>
    <t>TOTAL ADMITS</t>
  </si>
  <si>
    <t>res</t>
  </si>
  <si>
    <t>nonres %</t>
  </si>
  <si>
    <t>res %</t>
  </si>
  <si>
    <t>*dsiputed apps included with resident apps</t>
  </si>
  <si>
    <t>Not Coming</t>
  </si>
  <si>
    <t>Defer to '13</t>
  </si>
  <si>
    <t>Paid Deposit</t>
  </si>
  <si>
    <t>Said 'Yes"</t>
  </si>
  <si>
    <t>by June 4, 2011</t>
  </si>
  <si>
    <t>No Decision</t>
  </si>
  <si>
    <t>Total possible fall students</t>
  </si>
  <si>
    <t>Reasons for nonresidents not coming:</t>
  </si>
  <si>
    <t>UO Master of Env Studies</t>
  </si>
  <si>
    <t>ASU Sustainability</t>
  </si>
  <si>
    <t>Intl Marine &amp; Coastal Management in Iceland</t>
  </si>
  <si>
    <t>not ready for grad school (resident)</t>
  </si>
  <si>
    <t>Center of Environmental Policy at Bard</t>
  </si>
  <si>
    <t>Indiana University MPA</t>
  </si>
  <si>
    <t>PhD in Evolutionary Bio, Florida State (resident)</t>
  </si>
  <si>
    <t>American University - Global Environmental Policy</t>
  </si>
  <si>
    <t>can't afford it</t>
  </si>
  <si>
    <t>AVERAGE YIELD = 62.7%</t>
  </si>
  <si>
    <t>yield of 'for sure' admits</t>
  </si>
  <si>
    <t>yield of possible admits</t>
  </si>
  <si>
    <t>AVERAGE RES YIELD = 79.5%</t>
  </si>
  <si>
    <t>AVERAGE NR YIELD = 36.4%</t>
  </si>
  <si>
    <t>74 applicants</t>
  </si>
  <si>
    <t>69 admits (43 R, 26 N)</t>
  </si>
  <si>
    <t>42 enrolled (34 R, 8 N)</t>
  </si>
  <si>
    <t>nonres tuition</t>
  </si>
  <si>
    <t>res tuition</t>
  </si>
  <si>
    <t>TOTAL TUITION ADMITTED (FT)</t>
  </si>
  <si>
    <t>TOTAL TUITION OF 'FOR SURE'</t>
  </si>
  <si>
    <t>TOTAL TUITION OF POSSIBLE</t>
  </si>
  <si>
    <t>DIFFERENCE IN REVENUE</t>
  </si>
  <si>
    <t>TOTAL REVENUE LOSS</t>
  </si>
  <si>
    <t>&lt;--% OF TOTAL REV</t>
  </si>
  <si>
    <t>1 NONRES = 2.5 RES</t>
  </si>
  <si>
    <t>tuition as # of residents</t>
  </si>
  <si>
    <t>FOR SURE' AS % OF TOTAL ADMIT TUITION</t>
  </si>
  <si>
    <t>POSSIBLE AS % OF TOTAL ADMIT TUITION</t>
  </si>
  <si>
    <t>DIFFERENCE AS % OF TOTAL ADMIT TUITION</t>
  </si>
  <si>
    <t>TOTAL LOSS AS % OF TOTAL ADMIT TUITION</t>
  </si>
  <si>
    <t>HIGHEST AVG NR YIELD WAS 50%</t>
  </si>
  <si>
    <t>IF WE HAD 50% NR YIELD, THAT WOULD BE $260,754, WHICH IS EQUAL TO 33 RES, AND IS 32% OF TOTAL ADMIT TUITION</t>
  </si>
  <si>
    <t>Defer to '12</t>
  </si>
  <si>
    <t>2011 Numbers</t>
  </si>
  <si>
    <t>QUESTION? HOW MUCH IS EVERGREEN WILLING TO GIVE OUT TO NONRESIDENTS?</t>
  </si>
  <si>
    <t>WHAT DO THEY NEED ROI TO BE?</t>
  </si>
  <si>
    <t xml:space="preserve">WE HAVE $75K TO GIVE IN WAIVERS, WHICH IS EQUAL TO 3.7 NONRES OR 9.5 RESIDENTS </t>
  </si>
  <si>
    <t xml:space="preserve">ARE WE WILLING TO HAVE A 50% ROI?  RIGHT NOW, IT LOOKS LIKE $75K IS 19% OF TOTAL FOR SURE TUITION </t>
  </si>
  <si>
    <t>&lt;--% ROI FOR TUITION WAIVERS</t>
  </si>
  <si>
    <t>&lt;--IF ROI WAS 300%, WE SHOULD GET THIS IN TUITION WAIVERS</t>
  </si>
  <si>
    <t>&lt;--400% ROI</t>
  </si>
  <si>
    <t>UO Community and Regional Planning Masters Program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</si>
</sst>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9" fontId="0" fillId="0" borderId="0" xfId="1" applyFont="1"/>
    <xf numFmtId="0" fontId="2" fillId="0" borderId="0" xfId="0" applyFont="1"/>
    <xf numFmtId="9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1" applyNumberFormat="1" applyFont="1"/>
    <xf numFmtId="1" fontId="0" fillId="0" borderId="1" xfId="0" applyNumberFormat="1" applyBorder="1"/>
    <xf numFmtId="1" fontId="0" fillId="0" borderId="0" xfId="0" applyNumberFormat="1"/>
    <xf numFmtId="1" fontId="0" fillId="0" borderId="0" xfId="0" applyNumberFormat="1" applyBorder="1"/>
    <xf numFmtId="9" fontId="0" fillId="0" borderId="0" xfId="1" quotePrefix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topLeftCell="A18" workbookViewId="0">
      <selection activeCell="A52" sqref="A52"/>
    </sheetView>
  </sheetViews>
  <sheetFormatPr defaultRowHeight="15"/>
  <cols>
    <col min="1" max="1" width="46.5703125" bestFit="1" customWidth="1"/>
    <col min="2" max="2" width="10.5703125" bestFit="1" customWidth="1"/>
    <col min="4" max="4" width="26" bestFit="1" customWidth="1"/>
    <col min="5" max="5" width="22.140625" bestFit="1" customWidth="1"/>
    <col min="8" max="8" width="12" customWidth="1"/>
    <col min="11" max="11" width="26" customWidth="1"/>
    <col min="12" max="12" width="7" customWidth="1"/>
  </cols>
  <sheetData>
    <row r="1" spans="1:16">
      <c r="A1" t="s">
        <v>0</v>
      </c>
    </row>
    <row r="2" spans="1:16">
      <c r="A2" t="s">
        <v>12</v>
      </c>
    </row>
    <row r="4" spans="1:16">
      <c r="A4" t="s">
        <v>1</v>
      </c>
      <c r="K4" t="s">
        <v>17</v>
      </c>
    </row>
    <row r="6" spans="1:16">
      <c r="A6" s="3" t="s">
        <v>7</v>
      </c>
      <c r="C6" t="s">
        <v>6</v>
      </c>
      <c r="D6" t="s">
        <v>38</v>
      </c>
      <c r="E6" t="s">
        <v>47</v>
      </c>
      <c r="F6" t="s">
        <v>10</v>
      </c>
      <c r="G6" t="s">
        <v>9</v>
      </c>
      <c r="H6" t="s">
        <v>39</v>
      </c>
      <c r="I6" t="s">
        <v>11</v>
      </c>
      <c r="K6" s="3" t="s">
        <v>7</v>
      </c>
      <c r="M6" t="s">
        <v>6</v>
      </c>
      <c r="N6" t="s">
        <v>10</v>
      </c>
      <c r="O6" t="s">
        <v>9</v>
      </c>
      <c r="P6" t="s">
        <v>11</v>
      </c>
    </row>
    <row r="7" spans="1:16">
      <c r="A7" t="s">
        <v>2</v>
      </c>
      <c r="B7">
        <v>12</v>
      </c>
      <c r="C7" s="5">
        <v>6</v>
      </c>
      <c r="D7" s="7">
        <v>0</v>
      </c>
      <c r="E7" s="7"/>
      <c r="F7" s="2">
        <f>C7/B7</f>
        <v>0.5</v>
      </c>
      <c r="G7">
        <v>6</v>
      </c>
      <c r="H7">
        <v>0</v>
      </c>
      <c r="I7" s="2">
        <f>G7/B7</f>
        <v>0.5</v>
      </c>
      <c r="K7" t="s">
        <v>2</v>
      </c>
      <c r="L7">
        <v>4</v>
      </c>
      <c r="M7" s="5">
        <v>2</v>
      </c>
      <c r="N7" s="2">
        <f>M7/L7</f>
        <v>0.5</v>
      </c>
      <c r="O7">
        <v>2</v>
      </c>
      <c r="P7" s="2">
        <f>O7/L7</f>
        <v>0.5</v>
      </c>
    </row>
    <row r="8" spans="1:16">
      <c r="A8" s="1" t="s">
        <v>3</v>
      </c>
      <c r="B8" s="1">
        <v>60</v>
      </c>
      <c r="C8" s="6">
        <f>18+9</f>
        <v>27</v>
      </c>
      <c r="D8" s="1">
        <f>20058*C8</f>
        <v>541566</v>
      </c>
      <c r="E8" s="9">
        <f>D8/7929</f>
        <v>68.301929625425657</v>
      </c>
      <c r="F8" s="4">
        <f t="shared" ref="F8:F9" si="0">C8/B8</f>
        <v>0.45</v>
      </c>
      <c r="G8" s="1">
        <v>33</v>
      </c>
      <c r="H8" s="1">
        <f>G8*7929</f>
        <v>261657</v>
      </c>
      <c r="I8" s="4">
        <f t="shared" ref="I8:I9" si="1">G8/B8</f>
        <v>0.55000000000000004</v>
      </c>
      <c r="K8" s="1" t="s">
        <v>3</v>
      </c>
      <c r="L8" s="1">
        <v>65</v>
      </c>
      <c r="M8" s="6">
        <v>25</v>
      </c>
      <c r="N8" s="4">
        <f t="shared" ref="N8:N9" si="2">M8/L8</f>
        <v>0.38461538461538464</v>
      </c>
      <c r="O8" s="1">
        <f>L8-M8</f>
        <v>40</v>
      </c>
      <c r="P8" s="4">
        <f t="shared" ref="P8:P9" si="3">O8/L8</f>
        <v>0.61538461538461542</v>
      </c>
    </row>
    <row r="9" spans="1:16">
      <c r="A9" t="s">
        <v>4</v>
      </c>
      <c r="B9">
        <f>SUM(B7:B8)</f>
        <v>72</v>
      </c>
      <c r="C9" s="5">
        <f>SUM(C7:C8)</f>
        <v>33</v>
      </c>
      <c r="D9" s="7">
        <f>SUM(D7:D8)</f>
        <v>541566</v>
      </c>
      <c r="E9" s="7"/>
      <c r="F9" s="2">
        <f t="shared" si="0"/>
        <v>0.45833333333333331</v>
      </c>
      <c r="G9">
        <f>SUM(G7:G8)</f>
        <v>39</v>
      </c>
      <c r="H9" s="7">
        <f>SUM(H7:H8)</f>
        <v>261657</v>
      </c>
      <c r="I9" s="2">
        <f t="shared" si="1"/>
        <v>0.54166666666666663</v>
      </c>
      <c r="K9" t="s">
        <v>4</v>
      </c>
      <c r="L9">
        <f>SUM(L7:L8)</f>
        <v>69</v>
      </c>
      <c r="M9" s="5">
        <f>SUM(M7:M8)</f>
        <v>27</v>
      </c>
      <c r="N9" s="2">
        <f t="shared" si="2"/>
        <v>0.39130434782608697</v>
      </c>
      <c r="O9">
        <f>SUM(O7:O8)</f>
        <v>42</v>
      </c>
      <c r="P9" s="2">
        <f t="shared" si="3"/>
        <v>0.60869565217391308</v>
      </c>
    </row>
    <row r="10" spans="1:16">
      <c r="A10" t="s">
        <v>5</v>
      </c>
      <c r="B10" s="2">
        <f>B8/B9</f>
        <v>0.83333333333333337</v>
      </c>
      <c r="C10" s="2">
        <f>C8/C9</f>
        <v>0.81818181818181823</v>
      </c>
      <c r="D10" s="2"/>
      <c r="E10" s="2"/>
      <c r="F10" s="2"/>
      <c r="G10" s="2">
        <f t="shared" ref="G10" si="4">G8/G9</f>
        <v>0.84615384615384615</v>
      </c>
      <c r="H10" s="2"/>
      <c r="I10" s="2"/>
      <c r="K10" t="s">
        <v>5</v>
      </c>
      <c r="L10" s="2">
        <f>L8/L9</f>
        <v>0.94202898550724634</v>
      </c>
      <c r="M10" s="2">
        <f>M8/M9</f>
        <v>0.92592592592592593</v>
      </c>
      <c r="N10" s="2"/>
      <c r="O10" s="2">
        <f t="shared" ref="O10" si="5">O8/O9</f>
        <v>0.95238095238095233</v>
      </c>
      <c r="P10" s="2"/>
    </row>
    <row r="11" spans="1:16">
      <c r="A11" t="s">
        <v>40</v>
      </c>
      <c r="B11">
        <f>D9+H9</f>
        <v>803223</v>
      </c>
      <c r="D11" s="2">
        <f>D9/B11</f>
        <v>0.67424115096305759</v>
      </c>
      <c r="E11" s="2"/>
      <c r="F11" t="s">
        <v>45</v>
      </c>
      <c r="H11" s="2">
        <f>H9/B11</f>
        <v>0.32575884903694241</v>
      </c>
      <c r="I11" t="s">
        <v>45</v>
      </c>
    </row>
    <row r="13" spans="1:16">
      <c r="A13" s="3" t="s">
        <v>8</v>
      </c>
      <c r="C13" t="s">
        <v>6</v>
      </c>
      <c r="D13" t="s">
        <v>38</v>
      </c>
      <c r="F13" t="s">
        <v>10</v>
      </c>
      <c r="G13" t="s">
        <v>9</v>
      </c>
      <c r="H13" t="s">
        <v>39</v>
      </c>
      <c r="I13" t="s">
        <v>11</v>
      </c>
      <c r="K13" s="3" t="s">
        <v>8</v>
      </c>
      <c r="M13" t="s">
        <v>6</v>
      </c>
      <c r="N13" t="s">
        <v>10</v>
      </c>
      <c r="O13" t="s">
        <v>9</v>
      </c>
      <c r="P13" t="s">
        <v>11</v>
      </c>
    </row>
    <row r="14" spans="1:16">
      <c r="A14" t="s">
        <v>13</v>
      </c>
      <c r="B14">
        <v>11</v>
      </c>
      <c r="C14">
        <v>9</v>
      </c>
      <c r="D14">
        <f>-20058*C14</f>
        <v>-180522</v>
      </c>
      <c r="E14" s="11">
        <f>-D14/7929</f>
        <v>22.767309875141883</v>
      </c>
      <c r="F14" s="2">
        <f>C14/B14</f>
        <v>0.81818181818181823</v>
      </c>
      <c r="G14">
        <v>2</v>
      </c>
      <c r="H14">
        <f>-7929*G14</f>
        <v>-15858</v>
      </c>
      <c r="I14" s="2">
        <f>G14/B14</f>
        <v>0.18181818181818182</v>
      </c>
      <c r="K14" t="s">
        <v>13</v>
      </c>
      <c r="L14">
        <v>8</v>
      </c>
      <c r="M14">
        <v>7</v>
      </c>
      <c r="N14" s="2">
        <f>M14/L14</f>
        <v>0.875</v>
      </c>
      <c r="O14">
        <v>1</v>
      </c>
      <c r="P14" s="2">
        <f>O14/L14</f>
        <v>0.125</v>
      </c>
    </row>
    <row r="15" spans="1:16">
      <c r="A15" t="s">
        <v>14</v>
      </c>
      <c r="B15">
        <v>3</v>
      </c>
      <c r="C15">
        <v>0</v>
      </c>
      <c r="D15">
        <f t="shared" ref="D15:D18" si="6">20058*C15</f>
        <v>0</v>
      </c>
      <c r="E15" s="11">
        <f>D15/7929</f>
        <v>0</v>
      </c>
      <c r="F15" s="2">
        <f t="shared" ref="F15:F19" si="7">C15/B15</f>
        <v>0</v>
      </c>
      <c r="G15">
        <v>3</v>
      </c>
      <c r="H15">
        <f>-7929*G15</f>
        <v>-23787</v>
      </c>
      <c r="I15" s="2">
        <f t="shared" ref="I15:I19" si="8">G15/B15</f>
        <v>1</v>
      </c>
      <c r="K15" t="s">
        <v>54</v>
      </c>
      <c r="L15">
        <v>4</v>
      </c>
      <c r="M15">
        <v>2</v>
      </c>
      <c r="N15" s="2">
        <f t="shared" ref="N15:N19" si="9">M15/L15</f>
        <v>0.5</v>
      </c>
      <c r="O15">
        <v>2</v>
      </c>
      <c r="P15" s="2">
        <f t="shared" ref="P15:P19" si="10">O15/L15</f>
        <v>0.5</v>
      </c>
    </row>
    <row r="16" spans="1:16">
      <c r="A16" t="s">
        <v>15</v>
      </c>
      <c r="B16">
        <v>34</v>
      </c>
      <c r="C16">
        <v>10</v>
      </c>
      <c r="D16">
        <f t="shared" si="6"/>
        <v>200580</v>
      </c>
      <c r="E16" s="11">
        <f>D16/7929</f>
        <v>25.297010972379873</v>
      </c>
      <c r="F16" s="2">
        <f t="shared" si="7"/>
        <v>0.29411764705882354</v>
      </c>
      <c r="G16">
        <v>24</v>
      </c>
      <c r="H16">
        <f t="shared" ref="H16:H18" si="11">7929*G16</f>
        <v>190296</v>
      </c>
      <c r="I16" s="2">
        <f t="shared" si="8"/>
        <v>0.70588235294117652</v>
      </c>
      <c r="K16" t="s">
        <v>15</v>
      </c>
      <c r="L16">
        <v>28</v>
      </c>
      <c r="M16">
        <v>8</v>
      </c>
      <c r="N16" s="2">
        <f t="shared" si="9"/>
        <v>0.2857142857142857</v>
      </c>
      <c r="O16">
        <v>20</v>
      </c>
      <c r="P16" s="2">
        <f t="shared" si="10"/>
        <v>0.7142857142857143</v>
      </c>
    </row>
    <row r="17" spans="1:16">
      <c r="A17" t="s">
        <v>16</v>
      </c>
      <c r="B17">
        <v>2</v>
      </c>
      <c r="C17">
        <v>0</v>
      </c>
      <c r="D17">
        <f t="shared" si="6"/>
        <v>0</v>
      </c>
      <c r="E17" s="11">
        <f>D17/7929</f>
        <v>0</v>
      </c>
      <c r="F17" s="2">
        <f t="shared" si="7"/>
        <v>0</v>
      </c>
      <c r="G17">
        <v>2</v>
      </c>
      <c r="H17">
        <f t="shared" si="11"/>
        <v>15858</v>
      </c>
      <c r="I17" s="2">
        <f t="shared" si="8"/>
        <v>1</v>
      </c>
      <c r="K17" t="s">
        <v>16</v>
      </c>
      <c r="L17">
        <v>0</v>
      </c>
      <c r="M17">
        <v>0</v>
      </c>
      <c r="N17" s="2" t="e">
        <f t="shared" si="9"/>
        <v>#DIV/0!</v>
      </c>
      <c r="O17">
        <v>0</v>
      </c>
      <c r="P17" s="2" t="e">
        <f t="shared" si="10"/>
        <v>#DIV/0!</v>
      </c>
    </row>
    <row r="18" spans="1:16">
      <c r="A18" s="1" t="s">
        <v>18</v>
      </c>
      <c r="B18" s="1">
        <v>9</v>
      </c>
      <c r="C18" s="1">
        <v>8</v>
      </c>
      <c r="D18" s="1">
        <f t="shared" si="6"/>
        <v>160464</v>
      </c>
      <c r="E18" s="9">
        <f>D18/7929</f>
        <v>20.237608777903898</v>
      </c>
      <c r="F18" s="4">
        <f t="shared" si="7"/>
        <v>0.88888888888888884</v>
      </c>
      <c r="G18" s="1">
        <v>1</v>
      </c>
      <c r="H18">
        <f t="shared" si="11"/>
        <v>7929</v>
      </c>
      <c r="I18" s="4">
        <f t="shared" si="8"/>
        <v>0.1111111111111111</v>
      </c>
      <c r="K18" s="1" t="s">
        <v>18</v>
      </c>
      <c r="L18" s="1">
        <f>L9-SUM(L14:L16)</f>
        <v>29</v>
      </c>
      <c r="M18" s="1">
        <f>M9-SUM(M14:M16)</f>
        <v>10</v>
      </c>
      <c r="N18" s="4">
        <f t="shared" si="9"/>
        <v>0.34482758620689657</v>
      </c>
      <c r="O18" s="1">
        <f>O9-SUM(O14:O16)</f>
        <v>19</v>
      </c>
      <c r="P18" s="4">
        <f t="shared" si="10"/>
        <v>0.65517241379310343</v>
      </c>
    </row>
    <row r="19" spans="1:16">
      <c r="A19" t="s">
        <v>19</v>
      </c>
      <c r="B19">
        <f>SUM(B16:B18)</f>
        <v>45</v>
      </c>
      <c r="C19">
        <f>SUM(C16:C18)</f>
        <v>18</v>
      </c>
      <c r="D19">
        <f>SUM(D16:D18)</f>
        <v>361044</v>
      </c>
      <c r="E19" s="11">
        <f>SUM(E16:E18)</f>
        <v>45.534619750283767</v>
      </c>
      <c r="F19" s="2">
        <f t="shared" si="7"/>
        <v>0.4</v>
      </c>
      <c r="G19">
        <f t="shared" ref="G19" si="12">SUM(G16:G18)</f>
        <v>27</v>
      </c>
      <c r="H19">
        <f>SUM(H16:H18)</f>
        <v>214083</v>
      </c>
      <c r="I19" s="2">
        <f t="shared" si="8"/>
        <v>0.6</v>
      </c>
      <c r="K19" t="s">
        <v>19</v>
      </c>
      <c r="L19">
        <f>SUM(L16:L18)</f>
        <v>57</v>
      </c>
      <c r="M19">
        <f>SUM(M16:M18)</f>
        <v>18</v>
      </c>
      <c r="N19" s="2">
        <f t="shared" si="9"/>
        <v>0.31578947368421051</v>
      </c>
      <c r="O19">
        <f t="shared" ref="O19" si="13">SUM(O16:O18)</f>
        <v>39</v>
      </c>
      <c r="P19" s="2">
        <f t="shared" si="10"/>
        <v>0.68421052631578949</v>
      </c>
    </row>
    <row r="20" spans="1:16">
      <c r="A20" t="s">
        <v>31</v>
      </c>
      <c r="B20" s="2">
        <f>B16/B8</f>
        <v>0.56666666666666665</v>
      </c>
      <c r="C20" s="2">
        <f t="shared" ref="C20:G20" si="14">C16/C8</f>
        <v>0.37037037037037035</v>
      </c>
      <c r="D20" s="2"/>
      <c r="E20" s="2"/>
      <c r="F20" s="2"/>
      <c r="G20" s="2">
        <f t="shared" si="14"/>
        <v>0.72727272727272729</v>
      </c>
      <c r="H20" s="2"/>
      <c r="I20" s="2"/>
      <c r="K20" t="s">
        <v>31</v>
      </c>
      <c r="L20" s="2">
        <f>L16/L8</f>
        <v>0.43076923076923079</v>
      </c>
      <c r="M20" s="2">
        <f t="shared" ref="M20" si="15">M16/M8</f>
        <v>0.32</v>
      </c>
      <c r="N20" s="2"/>
      <c r="O20" s="2">
        <f t="shared" ref="O20" si="16">O16/O8</f>
        <v>0.5</v>
      </c>
      <c r="P20" s="2"/>
    </row>
    <row r="21" spans="1:16">
      <c r="A21" t="s">
        <v>32</v>
      </c>
      <c r="B21" s="2">
        <f>B19/B8</f>
        <v>0.75</v>
      </c>
      <c r="C21" s="2">
        <f t="shared" ref="C21:G21" si="17">C19/C8</f>
        <v>0.66666666666666663</v>
      </c>
      <c r="D21" s="2"/>
      <c r="E21" s="2"/>
      <c r="F21" s="2"/>
      <c r="G21" s="2">
        <f t="shared" si="17"/>
        <v>0.81818181818181823</v>
      </c>
      <c r="H21" s="2"/>
      <c r="I21" s="2"/>
      <c r="K21" t="s">
        <v>32</v>
      </c>
      <c r="L21" s="2">
        <f>L19/L8</f>
        <v>0.87692307692307692</v>
      </c>
      <c r="M21" s="2">
        <f t="shared" ref="M21" si="18">M19/M8</f>
        <v>0.72</v>
      </c>
      <c r="N21" s="2"/>
      <c r="O21" s="2">
        <f t="shared" ref="O21" si="19">O19/O8</f>
        <v>0.97499999999999998</v>
      </c>
      <c r="P21" s="2"/>
    </row>
    <row r="22" spans="1:16">
      <c r="A22" t="s">
        <v>41</v>
      </c>
      <c r="B22" s="8">
        <f>D16+H16</f>
        <v>390876</v>
      </c>
      <c r="C22" s="2"/>
      <c r="E22" s="10">
        <f>B22/7929</f>
        <v>49.297010972379873</v>
      </c>
      <c r="G22" s="2"/>
      <c r="H22" s="2"/>
      <c r="I22" s="2"/>
      <c r="L22" s="2"/>
      <c r="M22" s="2"/>
      <c r="N22" s="2"/>
      <c r="O22" s="2"/>
      <c r="P22" s="2"/>
    </row>
    <row r="23" spans="1:16">
      <c r="A23" t="s">
        <v>42</v>
      </c>
      <c r="B23" s="8">
        <f>D19+H19</f>
        <v>575127</v>
      </c>
      <c r="C23" s="2"/>
      <c r="E23" s="10">
        <f t="shared" ref="E23:E24" si="20">B23/7929</f>
        <v>72.534619750283767</v>
      </c>
      <c r="G23" s="2"/>
      <c r="H23" s="2"/>
      <c r="I23" s="2"/>
      <c r="L23" s="2"/>
      <c r="M23" s="2"/>
      <c r="N23" s="2"/>
      <c r="O23" s="2"/>
      <c r="P23" s="2"/>
    </row>
    <row r="24" spans="1:16">
      <c r="A24" t="s">
        <v>43</v>
      </c>
      <c r="B24" s="8">
        <f>B23-B22</f>
        <v>184251</v>
      </c>
      <c r="C24" s="2"/>
      <c r="E24" s="10">
        <f t="shared" si="20"/>
        <v>23.237608777903898</v>
      </c>
      <c r="G24" s="2"/>
      <c r="H24" s="2"/>
      <c r="I24" s="2"/>
      <c r="L24" s="2"/>
      <c r="M24" s="2"/>
      <c r="N24" s="2"/>
      <c r="O24" s="2"/>
      <c r="P24" s="2"/>
    </row>
    <row r="25" spans="1:16">
      <c r="A25" t="s">
        <v>44</v>
      </c>
      <c r="B25" s="8">
        <f>D14+D15+H14+H15</f>
        <v>-220167</v>
      </c>
      <c r="C25" s="2"/>
      <c r="E25" s="10">
        <f>-B25/7929</f>
        <v>27.767309875141883</v>
      </c>
      <c r="G25" s="2"/>
      <c r="H25" s="2"/>
      <c r="I25" s="2"/>
      <c r="L25" s="2"/>
      <c r="M25" s="2"/>
      <c r="N25" s="2"/>
      <c r="O25" s="2"/>
      <c r="P25" s="2"/>
    </row>
    <row r="26" spans="1:16">
      <c r="B26" s="2"/>
    </row>
    <row r="27" spans="1:16">
      <c r="A27" s="12" t="s">
        <v>48</v>
      </c>
      <c r="B27" s="2">
        <f>B22/B11</f>
        <v>0.48663447137345417</v>
      </c>
      <c r="D27" s="2">
        <f>D16/B11</f>
        <v>0.24971894480113244</v>
      </c>
      <c r="G27" s="2">
        <f>H16/B11</f>
        <v>0.23691552657232176</v>
      </c>
    </row>
    <row r="28" spans="1:16">
      <c r="A28" s="2" t="s">
        <v>49</v>
      </c>
      <c r="B28" s="2">
        <f>B23/B11</f>
        <v>0.71602406803590035</v>
      </c>
      <c r="D28" s="2">
        <f>D19/B11</f>
        <v>0.44949410064203837</v>
      </c>
      <c r="G28" s="2">
        <f>H19/B11</f>
        <v>0.26652996739386198</v>
      </c>
    </row>
    <row r="29" spans="1:16">
      <c r="A29" s="2" t="s">
        <v>50</v>
      </c>
      <c r="B29" s="2">
        <f>B24/B11</f>
        <v>0.22938959666244618</v>
      </c>
      <c r="D29" s="2"/>
      <c r="K29" s="3" t="s">
        <v>55</v>
      </c>
    </row>
    <row r="30" spans="1:16">
      <c r="A30" s="2" t="s">
        <v>51</v>
      </c>
      <c r="B30" s="2">
        <f>B25/B11</f>
        <v>-0.27410445169025288</v>
      </c>
      <c r="D30" s="2"/>
      <c r="K30" t="s">
        <v>35</v>
      </c>
    </row>
    <row r="31" spans="1:16">
      <c r="A31" s="2"/>
      <c r="B31" s="2"/>
      <c r="K31" t="s">
        <v>36</v>
      </c>
    </row>
    <row r="32" spans="1:16">
      <c r="A32" t="s">
        <v>46</v>
      </c>
      <c r="B32" s="2"/>
      <c r="D32" t="s">
        <v>56</v>
      </c>
      <c r="K32" t="s">
        <v>37</v>
      </c>
    </row>
    <row r="33" spans="1:5">
      <c r="B33" s="2"/>
      <c r="D33" t="s">
        <v>57</v>
      </c>
    </row>
    <row r="34" spans="1:5">
      <c r="A34" t="s">
        <v>30</v>
      </c>
      <c r="B34" s="2"/>
      <c r="D34" t="s">
        <v>58</v>
      </c>
    </row>
    <row r="35" spans="1:5">
      <c r="A35" t="s">
        <v>34</v>
      </c>
      <c r="B35" s="2"/>
      <c r="D35" t="s">
        <v>59</v>
      </c>
    </row>
    <row r="36" spans="1:5">
      <c r="A36" t="s">
        <v>33</v>
      </c>
      <c r="D36" s="2">
        <f>(B22-75000)/75000</f>
        <v>4.2116800000000003</v>
      </c>
      <c r="E36" t="s">
        <v>60</v>
      </c>
    </row>
    <row r="37" spans="1:5">
      <c r="D37">
        <f>B22/3</f>
        <v>130292</v>
      </c>
      <c r="E37" t="s">
        <v>61</v>
      </c>
    </row>
    <row r="38" spans="1:5">
      <c r="A38" t="s">
        <v>52</v>
      </c>
      <c r="D38">
        <f>B22/4</f>
        <v>97719</v>
      </c>
      <c r="E38" t="s">
        <v>62</v>
      </c>
    </row>
    <row r="39" spans="1:5">
      <c r="A39" t="s">
        <v>53</v>
      </c>
    </row>
    <row r="41" spans="1:5">
      <c r="A41" s="3" t="s">
        <v>20</v>
      </c>
    </row>
    <row r="42" spans="1:5">
      <c r="A42" t="s">
        <v>21</v>
      </c>
    </row>
    <row r="43" spans="1:5">
      <c r="A43" t="s">
        <v>22</v>
      </c>
    </row>
    <row r="44" spans="1:5">
      <c r="A44" t="s">
        <v>23</v>
      </c>
    </row>
    <row r="45" spans="1:5">
      <c r="A45" t="s">
        <v>24</v>
      </c>
    </row>
    <row r="46" spans="1:5">
      <c r="A46" t="s">
        <v>25</v>
      </c>
    </row>
    <row r="47" spans="1:5">
      <c r="A47" t="s">
        <v>26</v>
      </c>
    </row>
    <row r="48" spans="1:5">
      <c r="A48" t="s">
        <v>27</v>
      </c>
    </row>
    <row r="49" spans="1:1">
      <c r="A49" t="s">
        <v>28</v>
      </c>
    </row>
    <row r="50" spans="1:1">
      <c r="A50" t="s">
        <v>29</v>
      </c>
    </row>
    <row r="51" spans="1:1">
      <c r="A51" t="s">
        <v>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dcterms:created xsi:type="dcterms:W3CDTF">2012-06-04T18:01:13Z</dcterms:created>
  <dcterms:modified xsi:type="dcterms:W3CDTF">2012-06-07T23:56:28Z</dcterms:modified>
</cp:coreProperties>
</file>